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Annual Report 2021\Work Papers_Master Copies\"/>
    </mc:Choice>
  </mc:AlternateContent>
  <xr:revisionPtr revIDLastSave="0" documentId="13_ncr:1_{59A2E2C9-DB8F-43A1-96A5-487D51161685}" xr6:coauthVersionLast="47" xr6:coauthVersionMax="47" xr10:uidLastSave="{00000000-0000-0000-0000-000000000000}"/>
  <bookViews>
    <workbookView xWindow="6570" yWindow="1125" windowWidth="29640" windowHeight="17025" xr2:uid="{00000000-000D-0000-FFFF-FFFF00000000}"/>
  </bookViews>
  <sheets>
    <sheet name="TOTAL FIRST YEAR" sheetId="3" r:id="rId1"/>
    <sheet name="APP 2885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'TOTAL FIRST YEAR'!$A$3:$Z$3</definedName>
    <definedName name="AC">'APP 2885'!$B$7:$H$51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NEPercentage">'[3]Rates&amp;NEB'!$B$13</definedName>
    <definedName name="NomInt">'[3]Rates&amp;NEB'!$B$5</definedName>
    <definedName name="OffsetAnchor" localSheetId="0">'TOTAL FIRST YEAR'!#REF!</definedName>
    <definedName name="_xlnm.Print_Area" localSheetId="0">'TOTAL FIRST YEAR'!$B$1:$Z$82</definedName>
    <definedName name="SSMeasures">[4]Sheet4!$A$5:$G$115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O6" i="3" s="1"/>
  <c r="L6" i="3"/>
  <c r="R7" i="3"/>
  <c r="L7" i="3"/>
  <c r="R8" i="3"/>
  <c r="V8" i="3" s="1"/>
  <c r="L8" i="3"/>
  <c r="L9" i="3"/>
  <c r="R10" i="3"/>
  <c r="L10" i="3"/>
  <c r="L11" i="3"/>
  <c r="L12" i="3"/>
  <c r="R13" i="3"/>
  <c r="L13" i="3"/>
  <c r="R14" i="3"/>
  <c r="L14" i="3"/>
  <c r="R15" i="3"/>
  <c r="L15" i="3"/>
  <c r="R16" i="3"/>
  <c r="L16" i="3"/>
  <c r="R17" i="3"/>
  <c r="L17" i="3"/>
  <c r="L18" i="3"/>
  <c r="R19" i="3"/>
  <c r="V19" i="3" s="1"/>
  <c r="L19" i="3"/>
  <c r="R20" i="3"/>
  <c r="L20" i="3"/>
  <c r="R21" i="3"/>
  <c r="V21" i="3" s="1"/>
  <c r="L21" i="3"/>
  <c r="L22" i="3"/>
  <c r="R23" i="3"/>
  <c r="L23" i="3"/>
  <c r="R24" i="3"/>
  <c r="L24" i="3"/>
  <c r="R25" i="3"/>
  <c r="V25" i="3" s="1"/>
  <c r="L25" i="3"/>
  <c r="L26" i="3"/>
  <c r="R27" i="3"/>
  <c r="V27" i="3" s="1"/>
  <c r="L27" i="3"/>
  <c r="R28" i="3"/>
  <c r="L28" i="3"/>
  <c r="R29" i="3"/>
  <c r="V29" i="3" s="1"/>
  <c r="L29" i="3"/>
  <c r="L30" i="3"/>
  <c r="R31" i="3"/>
  <c r="V31" i="3" s="1"/>
  <c r="L31" i="3"/>
  <c r="R32" i="3"/>
  <c r="L32" i="3"/>
  <c r="R33" i="3"/>
  <c r="L33" i="3"/>
  <c r="R34" i="3"/>
  <c r="L34" i="3"/>
  <c r="R35" i="3"/>
  <c r="V35" i="3" s="1"/>
  <c r="L35" i="3"/>
  <c r="R36" i="3"/>
  <c r="L36" i="3"/>
  <c r="R37" i="3"/>
  <c r="L37" i="3"/>
  <c r="R38" i="3"/>
  <c r="L38" i="3"/>
  <c r="R39" i="3"/>
  <c r="L39" i="3"/>
  <c r="R40" i="3"/>
  <c r="L40" i="3"/>
  <c r="R41" i="3"/>
  <c r="L41" i="3"/>
  <c r="R42" i="3"/>
  <c r="L42" i="3"/>
  <c r="R43" i="3"/>
  <c r="L43" i="3"/>
  <c r="R44" i="3"/>
  <c r="L44" i="3"/>
  <c r="R45" i="3"/>
  <c r="L45" i="3"/>
  <c r="R46" i="3"/>
  <c r="L46" i="3"/>
  <c r="R47" i="3"/>
  <c r="V47" i="3" s="1"/>
  <c r="L47" i="3"/>
  <c r="R48" i="3"/>
  <c r="L48" i="3"/>
  <c r="L49" i="3"/>
  <c r="L50" i="3"/>
  <c r="L51" i="3"/>
  <c r="L52" i="3"/>
  <c r="L53" i="3"/>
  <c r="I54" i="3"/>
  <c r="O54" i="3" s="1"/>
  <c r="L54" i="3"/>
  <c r="I55" i="3"/>
  <c r="O55" i="3" s="1"/>
  <c r="L55" i="3"/>
  <c r="R56" i="3"/>
  <c r="L56" i="3"/>
  <c r="L57" i="3"/>
  <c r="L58" i="3"/>
  <c r="M59" i="3"/>
  <c r="I60" i="3"/>
  <c r="K60" i="3"/>
  <c r="L60" i="3"/>
  <c r="M60" i="3" s="1"/>
  <c r="I61" i="3"/>
  <c r="K61" i="3"/>
  <c r="L61" i="3"/>
  <c r="M61" i="3" s="1"/>
  <c r="I62" i="3"/>
  <c r="K62" i="3"/>
  <c r="L62" i="3"/>
  <c r="M62" i="3" s="1"/>
  <c r="I63" i="3"/>
  <c r="K63" i="3"/>
  <c r="L63" i="3"/>
  <c r="M63" i="3" s="1"/>
  <c r="I64" i="3"/>
  <c r="K64" i="3"/>
  <c r="L64" i="3"/>
  <c r="M64" i="3" s="1"/>
  <c r="I65" i="3"/>
  <c r="K65" i="3"/>
  <c r="L65" i="3"/>
  <c r="M65" i="3" s="1"/>
  <c r="I66" i="3"/>
  <c r="K66" i="3"/>
  <c r="L66" i="3"/>
  <c r="M66" i="3" s="1"/>
  <c r="I67" i="3"/>
  <c r="K67" i="3"/>
  <c r="L67" i="3"/>
  <c r="M67" i="3" s="1"/>
  <c r="I68" i="3"/>
  <c r="K68" i="3"/>
  <c r="L68" i="3"/>
  <c r="M68" i="3" s="1"/>
  <c r="I4" i="3"/>
  <c r="L4" i="3"/>
  <c r="L5" i="3"/>
  <c r="V48" i="3" l="1"/>
  <c r="O62" i="3"/>
  <c r="T62" i="3" s="1"/>
  <c r="V13" i="3"/>
  <c r="O67" i="3"/>
  <c r="X67" i="3" s="1"/>
  <c r="V42" i="3"/>
  <c r="V24" i="3"/>
  <c r="V7" i="3"/>
  <c r="O65" i="3"/>
  <c r="T65" i="3" s="1"/>
  <c r="V44" i="3"/>
  <c r="V36" i="3"/>
  <c r="V28" i="3"/>
  <c r="V20" i="3"/>
  <c r="O64" i="3"/>
  <c r="T64" i="3" s="1"/>
  <c r="O66" i="3"/>
  <c r="T66" i="3" s="1"/>
  <c r="V17" i="3"/>
  <c r="V46" i="3"/>
  <c r="V14" i="3"/>
  <c r="O63" i="3"/>
  <c r="T63" i="3" s="1"/>
  <c r="O68" i="3"/>
  <c r="T68" i="3" s="1"/>
  <c r="O60" i="3"/>
  <c r="T60" i="3" s="1"/>
  <c r="R54" i="3"/>
  <c r="E70" i="3"/>
  <c r="M58" i="3"/>
  <c r="Z58" i="3" s="1"/>
  <c r="M53" i="3"/>
  <c r="Z53" i="3" s="1"/>
  <c r="M5" i="3"/>
  <c r="Z5" i="3" s="1"/>
  <c r="I58" i="3"/>
  <c r="O58" i="3" s="1"/>
  <c r="U6" i="3"/>
  <c r="Y6" i="3"/>
  <c r="R55" i="3"/>
  <c r="R6" i="3"/>
  <c r="M55" i="3"/>
  <c r="Z55" i="3" s="1"/>
  <c r="O61" i="3"/>
  <c r="T61" i="3" s="1"/>
  <c r="R58" i="3"/>
  <c r="I53" i="3"/>
  <c r="O53" i="3" s="1"/>
  <c r="M56" i="3"/>
  <c r="Z56" i="3" s="1"/>
  <c r="M54" i="3"/>
  <c r="I51" i="3"/>
  <c r="K51" i="3"/>
  <c r="M51" i="3"/>
  <c r="R51" i="3"/>
  <c r="X60" i="3"/>
  <c r="R57" i="3"/>
  <c r="I57" i="3"/>
  <c r="M57" i="3"/>
  <c r="Z57" i="3" s="1"/>
  <c r="I49" i="3"/>
  <c r="K49" i="3"/>
  <c r="M49" i="3"/>
  <c r="R49" i="3"/>
  <c r="Y54" i="3"/>
  <c r="U54" i="3"/>
  <c r="X62" i="3"/>
  <c r="X64" i="3"/>
  <c r="I52" i="3"/>
  <c r="M52" i="3"/>
  <c r="Z52" i="3" s="1"/>
  <c r="R52" i="3"/>
  <c r="I50" i="3"/>
  <c r="K50" i="3"/>
  <c r="M50" i="3"/>
  <c r="R50" i="3"/>
  <c r="Y55" i="3"/>
  <c r="U55" i="3"/>
  <c r="I46" i="3"/>
  <c r="K46" i="3"/>
  <c r="M46" i="3"/>
  <c r="Z46" i="3" s="1"/>
  <c r="I34" i="3"/>
  <c r="K34" i="3"/>
  <c r="M34" i="3"/>
  <c r="I22" i="3"/>
  <c r="K22" i="3"/>
  <c r="M22" i="3"/>
  <c r="Z22" i="3" s="1"/>
  <c r="I18" i="3"/>
  <c r="K18" i="3"/>
  <c r="M18" i="3"/>
  <c r="Z18" i="3" s="1"/>
  <c r="I11" i="3"/>
  <c r="K11" i="3"/>
  <c r="M11" i="3"/>
  <c r="Z11" i="3" s="1"/>
  <c r="I38" i="3"/>
  <c r="K38" i="3"/>
  <c r="M38" i="3"/>
  <c r="I26" i="3"/>
  <c r="K26" i="3"/>
  <c r="M26" i="3"/>
  <c r="Z26" i="3" s="1"/>
  <c r="I10" i="3"/>
  <c r="K10" i="3"/>
  <c r="M10" i="3"/>
  <c r="I42" i="3"/>
  <c r="K42" i="3"/>
  <c r="M42" i="3"/>
  <c r="Z42" i="3" s="1"/>
  <c r="I30" i="3"/>
  <c r="K30" i="3"/>
  <c r="M30" i="3"/>
  <c r="I56" i="3"/>
  <c r="R53" i="3"/>
  <c r="V53" i="3" s="1"/>
  <c r="I45" i="3"/>
  <c r="K45" i="3"/>
  <c r="M45" i="3"/>
  <c r="I41" i="3"/>
  <c r="K41" i="3"/>
  <c r="M41" i="3"/>
  <c r="I37" i="3"/>
  <c r="K37" i="3"/>
  <c r="M37" i="3"/>
  <c r="I33" i="3"/>
  <c r="K33" i="3"/>
  <c r="M33" i="3"/>
  <c r="I29" i="3"/>
  <c r="K29" i="3"/>
  <c r="M29" i="3"/>
  <c r="Z29" i="3" s="1"/>
  <c r="I25" i="3"/>
  <c r="K25" i="3"/>
  <c r="M25" i="3"/>
  <c r="Z25" i="3" s="1"/>
  <c r="I21" i="3"/>
  <c r="K21" i="3"/>
  <c r="M21" i="3"/>
  <c r="Z21" i="3" s="1"/>
  <c r="I17" i="3"/>
  <c r="K17" i="3"/>
  <c r="M17" i="3"/>
  <c r="Z17" i="3" s="1"/>
  <c r="I9" i="3"/>
  <c r="K9" i="3"/>
  <c r="M9" i="3"/>
  <c r="Z9" i="3" s="1"/>
  <c r="I12" i="3"/>
  <c r="K12" i="3"/>
  <c r="M12" i="3"/>
  <c r="I16" i="3"/>
  <c r="K16" i="3"/>
  <c r="M16" i="3"/>
  <c r="R12" i="3"/>
  <c r="I8" i="3"/>
  <c r="K8" i="3"/>
  <c r="M8" i="3"/>
  <c r="Z8" i="3" s="1"/>
  <c r="I32" i="3"/>
  <c r="K32" i="3"/>
  <c r="M32" i="3"/>
  <c r="R30" i="3"/>
  <c r="I28" i="3"/>
  <c r="K28" i="3"/>
  <c r="M28" i="3"/>
  <c r="Z28" i="3" s="1"/>
  <c r="R26" i="3"/>
  <c r="V26" i="3" s="1"/>
  <c r="I24" i="3"/>
  <c r="K24" i="3"/>
  <c r="M24" i="3"/>
  <c r="Z24" i="3" s="1"/>
  <c r="R22" i="3"/>
  <c r="V22" i="3" s="1"/>
  <c r="I20" i="3"/>
  <c r="K20" i="3"/>
  <c r="M20" i="3"/>
  <c r="Z20" i="3" s="1"/>
  <c r="R18" i="3"/>
  <c r="V18" i="3" s="1"/>
  <c r="I15" i="3"/>
  <c r="K15" i="3"/>
  <c r="M15" i="3"/>
  <c r="R11" i="3"/>
  <c r="V11" i="3" s="1"/>
  <c r="I7" i="3"/>
  <c r="K7" i="3"/>
  <c r="M7" i="3"/>
  <c r="Z7" i="3" s="1"/>
  <c r="I48" i="3"/>
  <c r="K48" i="3"/>
  <c r="M48" i="3"/>
  <c r="Z48" i="3" s="1"/>
  <c r="I40" i="3"/>
  <c r="K40" i="3"/>
  <c r="M40" i="3"/>
  <c r="I14" i="3"/>
  <c r="K14" i="3"/>
  <c r="M14" i="3"/>
  <c r="Z14" i="3" s="1"/>
  <c r="I44" i="3"/>
  <c r="K44" i="3"/>
  <c r="M44" i="3"/>
  <c r="Z44" i="3" s="1"/>
  <c r="I36" i="3"/>
  <c r="K36" i="3"/>
  <c r="M36" i="3"/>
  <c r="Z36" i="3" s="1"/>
  <c r="I47" i="3"/>
  <c r="K47" i="3"/>
  <c r="M47" i="3"/>
  <c r="Z47" i="3" s="1"/>
  <c r="I43" i="3"/>
  <c r="K43" i="3"/>
  <c r="M43" i="3"/>
  <c r="I39" i="3"/>
  <c r="K39" i="3"/>
  <c r="M39" i="3"/>
  <c r="I35" i="3"/>
  <c r="K35" i="3"/>
  <c r="M35" i="3"/>
  <c r="Z35" i="3" s="1"/>
  <c r="I31" i="3"/>
  <c r="K31" i="3"/>
  <c r="M31" i="3"/>
  <c r="Z31" i="3" s="1"/>
  <c r="I27" i="3"/>
  <c r="K27" i="3"/>
  <c r="M27" i="3"/>
  <c r="Z27" i="3" s="1"/>
  <c r="I23" i="3"/>
  <c r="K23" i="3"/>
  <c r="M23" i="3"/>
  <c r="I19" i="3"/>
  <c r="K19" i="3"/>
  <c r="M19" i="3"/>
  <c r="Z19" i="3" s="1"/>
  <c r="I13" i="3"/>
  <c r="K13" i="3"/>
  <c r="M13" i="3"/>
  <c r="Z13" i="3" s="1"/>
  <c r="R9" i="3"/>
  <c r="V9" i="3" s="1"/>
  <c r="M6" i="3"/>
  <c r="Z6" i="3" s="1"/>
  <c r="K6" i="3"/>
  <c r="O4" i="3"/>
  <c r="K5" i="3"/>
  <c r="R4" i="3"/>
  <c r="I5" i="3"/>
  <c r="M4" i="3"/>
  <c r="K4" i="3"/>
  <c r="R5" i="3"/>
  <c r="V5" i="3" s="1"/>
  <c r="X65" i="3" l="1"/>
  <c r="R70" i="3"/>
  <c r="T67" i="3"/>
  <c r="X53" i="3"/>
  <c r="V55" i="3"/>
  <c r="X54" i="3"/>
  <c r="Z54" i="3"/>
  <c r="V6" i="3"/>
  <c r="X66" i="3"/>
  <c r="X63" i="3"/>
  <c r="X68" i="3"/>
  <c r="T55" i="3"/>
  <c r="T54" i="3"/>
  <c r="I70" i="3"/>
  <c r="T6" i="3"/>
  <c r="X55" i="3"/>
  <c r="X61" i="3"/>
  <c r="M70" i="3"/>
  <c r="N70" i="3"/>
  <c r="K70" i="3"/>
  <c r="T58" i="3"/>
  <c r="O23" i="3"/>
  <c r="X23" i="3" s="1"/>
  <c r="O48" i="3"/>
  <c r="X48" i="3" s="1"/>
  <c r="O40" i="3"/>
  <c r="X40" i="3" s="1"/>
  <c r="O29" i="3"/>
  <c r="X29" i="3" s="1"/>
  <c r="O22" i="3"/>
  <c r="X22" i="3" s="1"/>
  <c r="O27" i="3"/>
  <c r="X27" i="3" s="1"/>
  <c r="T53" i="3"/>
  <c r="O38" i="3"/>
  <c r="X38" i="3" s="1"/>
  <c r="O57" i="3"/>
  <c r="O36" i="3"/>
  <c r="X36" i="3" s="1"/>
  <c r="O16" i="3"/>
  <c r="O9" i="3"/>
  <c r="T9" i="3" s="1"/>
  <c r="O21" i="3"/>
  <c r="O42" i="3"/>
  <c r="O50" i="3"/>
  <c r="T50" i="3" s="1"/>
  <c r="O49" i="3"/>
  <c r="X49" i="3" s="1"/>
  <c r="O13" i="3"/>
  <c r="X13" i="3" s="1"/>
  <c r="O35" i="3"/>
  <c r="X35" i="3" s="1"/>
  <c r="O43" i="3"/>
  <c r="O14" i="3"/>
  <c r="X14" i="3" s="1"/>
  <c r="O15" i="3"/>
  <c r="O24" i="3"/>
  <c r="X24" i="3" s="1"/>
  <c r="O32" i="3"/>
  <c r="O33" i="3"/>
  <c r="X33" i="3" s="1"/>
  <c r="O41" i="3"/>
  <c r="O56" i="3"/>
  <c r="O18" i="3"/>
  <c r="T18" i="3" s="1"/>
  <c r="O34" i="3"/>
  <c r="O52" i="3"/>
  <c r="T52" i="3" s="1"/>
  <c r="Y58" i="3"/>
  <c r="U58" i="3"/>
  <c r="O25" i="3"/>
  <c r="X25" i="3" s="1"/>
  <c r="X6" i="3"/>
  <c r="O31" i="3"/>
  <c r="X31" i="3" s="1"/>
  <c r="O44" i="3"/>
  <c r="X44" i="3" s="1"/>
  <c r="O8" i="3"/>
  <c r="O26" i="3"/>
  <c r="T26" i="3" s="1"/>
  <c r="O19" i="3"/>
  <c r="X19" i="3" s="1"/>
  <c r="O39" i="3"/>
  <c r="O47" i="3"/>
  <c r="O7" i="3"/>
  <c r="X7" i="3" s="1"/>
  <c r="O20" i="3"/>
  <c r="X20" i="3" s="1"/>
  <c r="O28" i="3"/>
  <c r="X28" i="3" s="1"/>
  <c r="O12" i="3"/>
  <c r="X12" i="3" s="1"/>
  <c r="O17" i="3"/>
  <c r="X17" i="3" s="1"/>
  <c r="O37" i="3"/>
  <c r="O45" i="3"/>
  <c r="X45" i="3" s="1"/>
  <c r="O30" i="3"/>
  <c r="X30" i="3" s="1"/>
  <c r="O10" i="3"/>
  <c r="O11" i="3"/>
  <c r="T11" i="3" s="1"/>
  <c r="O46" i="3"/>
  <c r="Y53" i="3"/>
  <c r="U53" i="3"/>
  <c r="X58" i="3"/>
  <c r="O51" i="3"/>
  <c r="X51" i="3" s="1"/>
  <c r="T4" i="3"/>
  <c r="O5" i="3"/>
  <c r="U5" i="3" s="1"/>
  <c r="S70" i="3" l="1"/>
  <c r="T49" i="3"/>
  <c r="O70" i="3"/>
  <c r="X70" i="3" s="1"/>
  <c r="X18" i="3"/>
  <c r="T12" i="3"/>
  <c r="T37" i="3"/>
  <c r="T41" i="3"/>
  <c r="T32" i="3"/>
  <c r="T43" i="3"/>
  <c r="T16" i="3"/>
  <c r="U57" i="3"/>
  <c r="Y57" i="3"/>
  <c r="U8" i="3"/>
  <c r="Y8" i="3"/>
  <c r="T8" i="3"/>
  <c r="U22" i="3"/>
  <c r="Y22" i="3"/>
  <c r="X9" i="3"/>
  <c r="T22" i="3"/>
  <c r="X52" i="3"/>
  <c r="U24" i="3"/>
  <c r="Y24" i="3"/>
  <c r="T24" i="3"/>
  <c r="U35" i="3"/>
  <c r="Y35" i="3"/>
  <c r="T35" i="3"/>
  <c r="U42" i="3"/>
  <c r="Y42" i="3"/>
  <c r="T42" i="3"/>
  <c r="T38" i="3"/>
  <c r="U48" i="3"/>
  <c r="Y48" i="3"/>
  <c r="T48" i="3"/>
  <c r="U19" i="3"/>
  <c r="Y19" i="3"/>
  <c r="T19" i="3"/>
  <c r="U28" i="3"/>
  <c r="Y28" i="3"/>
  <c r="T28" i="3"/>
  <c r="T34" i="3"/>
  <c r="U46" i="3"/>
  <c r="Y46" i="3"/>
  <c r="T46" i="3"/>
  <c r="T17" i="3"/>
  <c r="U47" i="3"/>
  <c r="Y47" i="3"/>
  <c r="T47" i="3"/>
  <c r="X46" i="3"/>
  <c r="X47" i="3"/>
  <c r="T33" i="3"/>
  <c r="X32" i="3"/>
  <c r="X43" i="3"/>
  <c r="X57" i="3"/>
  <c r="X42" i="3"/>
  <c r="X16" i="3"/>
  <c r="U20" i="3"/>
  <c r="Y20" i="3"/>
  <c r="T20" i="3"/>
  <c r="U18" i="3"/>
  <c r="Y18" i="3"/>
  <c r="T15" i="3"/>
  <c r="U13" i="3"/>
  <c r="Y13" i="3"/>
  <c r="T13" i="3"/>
  <c r="U21" i="3"/>
  <c r="Y21" i="3"/>
  <c r="T21" i="3"/>
  <c r="U36" i="3"/>
  <c r="Y36" i="3"/>
  <c r="T36" i="3"/>
  <c r="T10" i="3"/>
  <c r="U52" i="3"/>
  <c r="Y52" i="3"/>
  <c r="U11" i="3"/>
  <c r="Y11" i="3"/>
  <c r="T45" i="3"/>
  <c r="T39" i="3"/>
  <c r="U26" i="3"/>
  <c r="Y26" i="3"/>
  <c r="U44" i="3"/>
  <c r="Y44" i="3"/>
  <c r="T44" i="3"/>
  <c r="X11" i="3"/>
  <c r="X37" i="3"/>
  <c r="X39" i="3"/>
  <c r="U56" i="3"/>
  <c r="X56" i="3"/>
  <c r="Y56" i="3"/>
  <c r="T56" i="3"/>
  <c r="U29" i="3"/>
  <c r="Y29" i="3"/>
  <c r="T29" i="3"/>
  <c r="X8" i="3"/>
  <c r="T23" i="3"/>
  <c r="T57" i="3"/>
  <c r="U9" i="3"/>
  <c r="Y9" i="3"/>
  <c r="U7" i="3"/>
  <c r="Y7" i="3"/>
  <c r="T7" i="3"/>
  <c r="U14" i="3"/>
  <c r="Y14" i="3"/>
  <c r="T14" i="3"/>
  <c r="X34" i="3"/>
  <c r="T30" i="3"/>
  <c r="T40" i="3"/>
  <c r="X26" i="3"/>
  <c r="U31" i="3"/>
  <c r="Y31" i="3"/>
  <c r="T31" i="3"/>
  <c r="X10" i="3"/>
  <c r="U25" i="3"/>
  <c r="Y25" i="3"/>
  <c r="T25" i="3"/>
  <c r="T51" i="3"/>
  <c r="X41" i="3"/>
  <c r="X15" i="3"/>
  <c r="U27" i="3"/>
  <c r="Y27" i="3"/>
  <c r="T27" i="3"/>
  <c r="X50" i="3"/>
  <c r="X21" i="3"/>
  <c r="T5" i="3"/>
  <c r="T70" i="3" l="1"/>
  <c r="B76" i="3"/>
  <c r="P61" i="3" l="1"/>
  <c r="P63" i="3"/>
  <c r="P68" i="3"/>
  <c r="P64" i="3"/>
  <c r="P67" i="3"/>
  <c r="P60" i="3"/>
  <c r="P65" i="3"/>
  <c r="P62" i="3"/>
  <c r="P66" i="3"/>
  <c r="B77" i="3"/>
  <c r="Z62" i="3" l="1"/>
  <c r="V62" i="3"/>
  <c r="V65" i="3"/>
  <c r="Z65" i="3"/>
  <c r="Z60" i="3"/>
  <c r="V60" i="3"/>
  <c r="Z67" i="3"/>
  <c r="V67" i="3"/>
  <c r="Z64" i="3"/>
  <c r="V64" i="3"/>
  <c r="V68" i="3"/>
  <c r="Z68" i="3"/>
  <c r="Z63" i="3"/>
  <c r="V63" i="3"/>
  <c r="V66" i="3"/>
  <c r="Z66" i="3"/>
  <c r="Z61" i="3"/>
  <c r="V61" i="3"/>
  <c r="U60" i="3"/>
  <c r="Y60" i="3"/>
  <c r="Y62" i="3"/>
  <c r="U62" i="3"/>
  <c r="U64" i="3"/>
  <c r="Y64" i="3"/>
  <c r="U65" i="3"/>
  <c r="Y65" i="3"/>
  <c r="Y67" i="3"/>
  <c r="U67" i="3"/>
  <c r="Y68" i="3"/>
  <c r="U68" i="3"/>
  <c r="P29" i="3"/>
  <c r="P38" i="3"/>
  <c r="P13" i="3"/>
  <c r="P15" i="3"/>
  <c r="P33" i="3"/>
  <c r="P7" i="3"/>
  <c r="P12" i="3"/>
  <c r="P30" i="3"/>
  <c r="P5" i="3"/>
  <c r="P18" i="3"/>
  <c r="P23" i="3"/>
  <c r="P53" i="3"/>
  <c r="P16" i="3"/>
  <c r="P58" i="3"/>
  <c r="V58" i="3" s="1"/>
  <c r="P31" i="3"/>
  <c r="P39" i="3"/>
  <c r="P10" i="3"/>
  <c r="P4" i="3"/>
  <c r="P11" i="3"/>
  <c r="P57" i="3"/>
  <c r="V57" i="3" s="1"/>
  <c r="P9" i="3"/>
  <c r="P35" i="3"/>
  <c r="P24" i="3"/>
  <c r="P41" i="3"/>
  <c r="P26" i="3"/>
  <c r="P20" i="3"/>
  <c r="P17" i="3"/>
  <c r="P51" i="3"/>
  <c r="P22" i="3"/>
  <c r="P50" i="3"/>
  <c r="P56" i="3"/>
  <c r="V56" i="3" s="1"/>
  <c r="P34" i="3"/>
  <c r="P25" i="3"/>
  <c r="P44" i="3"/>
  <c r="P47" i="3"/>
  <c r="P36" i="3"/>
  <c r="P21" i="3"/>
  <c r="P49" i="3"/>
  <c r="P52" i="3"/>
  <c r="V52" i="3" s="1"/>
  <c r="P19" i="3"/>
  <c r="P55" i="3"/>
  <c r="P43" i="3"/>
  <c r="P32" i="3"/>
  <c r="P54" i="3"/>
  <c r="V54" i="3" s="1"/>
  <c r="P28" i="3"/>
  <c r="P37" i="3"/>
  <c r="P45" i="3"/>
  <c r="P27" i="3"/>
  <c r="P42" i="3"/>
  <c r="P48" i="3"/>
  <c r="P40" i="3"/>
  <c r="P14" i="3"/>
  <c r="P8" i="3"/>
  <c r="P6" i="3"/>
  <c r="P46" i="3"/>
  <c r="U63" i="3"/>
  <c r="Y63" i="3"/>
  <c r="U66" i="3"/>
  <c r="Y66" i="3"/>
  <c r="Y61" i="3"/>
  <c r="U61" i="3"/>
  <c r="V43" i="3" l="1"/>
  <c r="Z43" i="3"/>
  <c r="V38" i="3"/>
  <c r="Z38" i="3"/>
  <c r="Z10" i="3"/>
  <c r="V10" i="3"/>
  <c r="V34" i="3"/>
  <c r="Z34" i="3"/>
  <c r="V41" i="3"/>
  <c r="Z41" i="3"/>
  <c r="V39" i="3"/>
  <c r="Z39" i="3"/>
  <c r="Z30" i="3"/>
  <c r="V30" i="3"/>
  <c r="V12" i="3"/>
  <c r="Z12" i="3"/>
  <c r="V37" i="3"/>
  <c r="Z37" i="3"/>
  <c r="Z50" i="3"/>
  <c r="V50" i="3"/>
  <c r="V16" i="3"/>
  <c r="Z16" i="3"/>
  <c r="V33" i="3"/>
  <c r="Z33" i="3"/>
  <c r="P70" i="3"/>
  <c r="V45" i="3"/>
  <c r="Z45" i="3"/>
  <c r="Z49" i="3"/>
  <c r="V49" i="3"/>
  <c r="Z15" i="3"/>
  <c r="V15" i="3"/>
  <c r="V4" i="3"/>
  <c r="U4" i="3"/>
  <c r="Z4" i="3"/>
  <c r="Z51" i="3"/>
  <c r="V51" i="3"/>
  <c r="Z40" i="3"/>
  <c r="V40" i="3"/>
  <c r="Z32" i="3"/>
  <c r="V32" i="3"/>
  <c r="Z23" i="3"/>
  <c r="V23" i="3"/>
  <c r="U30" i="3"/>
  <c r="Y30" i="3"/>
  <c r="U45" i="3"/>
  <c r="Y45" i="3"/>
  <c r="U12" i="3"/>
  <c r="Y12" i="3"/>
  <c r="U34" i="3"/>
  <c r="Y34" i="3"/>
  <c r="Y37" i="3"/>
  <c r="U37" i="3"/>
  <c r="U49" i="3"/>
  <c r="Y49" i="3"/>
  <c r="U50" i="3"/>
  <c r="Y50" i="3"/>
  <c r="Y39" i="3"/>
  <c r="U39" i="3"/>
  <c r="U16" i="3"/>
  <c r="Y16" i="3"/>
  <c r="U51" i="3"/>
  <c r="Y51" i="3"/>
  <c r="U15" i="3"/>
  <c r="Y15" i="3"/>
  <c r="U41" i="3"/>
  <c r="Y41" i="3"/>
  <c r="U33" i="3"/>
  <c r="Y33" i="3"/>
  <c r="U32" i="3"/>
  <c r="Y32" i="3"/>
  <c r="U17" i="3"/>
  <c r="Y17" i="3"/>
  <c r="U23" i="3"/>
  <c r="Y23" i="3"/>
  <c r="U10" i="3"/>
  <c r="Y10" i="3"/>
  <c r="U40" i="3"/>
  <c r="Y40" i="3"/>
  <c r="Y43" i="3"/>
  <c r="U43" i="3"/>
  <c r="U38" i="3"/>
  <c r="Y38" i="3"/>
  <c r="Z70" i="3" l="1"/>
  <c r="V70" i="3"/>
  <c r="Y70" i="3"/>
  <c r="U70" i="3"/>
  <c r="K72" i="3" l="1"/>
  <c r="X4" i="3"/>
  <c r="Y5" i="3" l="1"/>
  <c r="Y4" i="3"/>
  <c r="X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tc={E3735F46-87CC-4C55-850D-14C09AAD7880}</author>
  </authors>
  <commentList>
    <comment ref="R58" authorId="0" shapeId="0" xr:uid="{E3735F46-87CC-4C55-850D-14C09AAD788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an admin cost, not to be included in rebate total</t>
      </text>
    </comment>
  </commentList>
</comments>
</file>

<file path=xl/sharedStrings.xml><?xml version="1.0" encoding="utf-8"?>
<sst xmlns="http://schemas.openxmlformats.org/spreadsheetml/2006/main" count="355" uniqueCount="259">
  <si>
    <t>TOTAL PROGRAM</t>
  </si>
  <si>
    <t>CASCADE NATURAL GAS CORPORATION</t>
  </si>
  <si>
    <t>MEASURE</t>
  </si>
  <si>
    <t>Nominal interest rate (post tax cost of cap.)</t>
  </si>
  <si>
    <t>Inflation rate</t>
  </si>
  <si>
    <t>Long term real discount rate</t>
  </si>
  <si>
    <t>Radiant Heating</t>
  </si>
  <si>
    <t>Clothes Washer</t>
  </si>
  <si>
    <t>DESCRIPTION</t>
  </si>
  <si>
    <t>Condensing Tank</t>
  </si>
  <si>
    <t>Boiler Vent Damper</t>
  </si>
  <si>
    <t>Energy Star</t>
  </si>
  <si>
    <t>Commercial Gas Washer</t>
  </si>
  <si>
    <t>EFFICIENCY TYPE FOR QUALIFICATION</t>
  </si>
  <si>
    <t>Minimum 86% AFUE</t>
  </si>
  <si>
    <t>Minimum 92% AFUE</t>
  </si>
  <si>
    <t>None</t>
  </si>
  <si>
    <t>Minimum 91% AFUE or 91% Thermal Efficiency</t>
  </si>
  <si>
    <t>1.8 MEF</t>
  </si>
  <si>
    <t>45 YEAR RESOURCE SUMMARY COSTS - MELDED COST PER THERM</t>
  </si>
  <si>
    <t>YEAR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</si>
  <si>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</si>
  <si>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</si>
  <si>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</si>
  <si>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</si>
  <si>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</si>
  <si>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 xml:space="preserve">COMMERCIAL Program Participant Cost Effectiveness </t>
  </si>
  <si>
    <t>/unit</t>
  </si>
  <si>
    <t>Program Year:</t>
  </si>
  <si>
    <t>Double Rack Oven</t>
  </si>
  <si>
    <t>PORTFOLIO COST APPENDIX 1 TABLE H</t>
  </si>
  <si>
    <t>Boiler</t>
  </si>
  <si>
    <t>Custom Measures</t>
  </si>
  <si>
    <t>&lt;= 1.8 gpm, Watersense Certified</t>
  </si>
  <si>
    <t>Custom Admin.</t>
  </si>
  <si>
    <t>Prescriptive Admin.</t>
  </si>
  <si>
    <t>Attic Insulation</t>
  </si>
  <si>
    <t>Demand Control Ventilation</t>
  </si>
  <si>
    <t>Gas Conveyor Oven</t>
  </si>
  <si>
    <t>Meet JUARC Guidelines for DCV RTUs in 5-20 ton</t>
  </si>
  <si>
    <t>2018 INTEGRATED RESOURCE PLAN</t>
  </si>
  <si>
    <t>Bonus - Insulation Bundle A</t>
  </si>
  <si>
    <t>Insulation Bundle A</t>
  </si>
  <si>
    <t>Two Insulation Measures, min. 1000 sq. ft.+</t>
  </si>
  <si>
    <t>Bonus - Kitchen Bundle C (3 or more measures)</t>
  </si>
  <si>
    <t>Foodservice Bundle C</t>
  </si>
  <si>
    <t>Any 3 Kitchen equipment measures</t>
  </si>
  <si>
    <t>Bonus - Kitchen Bundle B (2 - measures)</t>
  </si>
  <si>
    <t>Foodservice Bundle B</t>
  </si>
  <si>
    <t>Any 2 Kitchen equipment measures</t>
  </si>
  <si>
    <t>Energy Saver Kit A</t>
  </si>
  <si>
    <t>Low Flow Kitchen Pre Rinse Spray Valve and Bath Aerators</t>
  </si>
  <si>
    <t>PRSV &lt;=1 gpm / Aerators &lt;=.75 gpm</t>
  </si>
  <si>
    <t>/kit</t>
  </si>
  <si>
    <t>Motion Faucet Controls</t>
  </si>
  <si>
    <t>Motion Controlled Faucet</t>
  </si>
  <si>
    <t>/faucet</t>
  </si>
  <si>
    <t>Energy Saver Kit B</t>
  </si>
  <si>
    <t>Low Flow Showerheads</t>
  </si>
  <si>
    <t>Showerhead &lt;= 1.85 gpm</t>
  </si>
  <si>
    <t>DCV</t>
  </si>
  <si>
    <t>/ton</t>
  </si>
  <si>
    <t>Convection Oven (Restaurant)</t>
  </si>
  <si>
    <t>&gt;= 44% Cooking Efficiency,&lt;= 13,000 Btu/hr Idle Rate</t>
  </si>
  <si>
    <t>/oven</t>
  </si>
  <si>
    <t>Low Temp Door Dishwasher</t>
  </si>
  <si>
    <t>&lt;=.6kW Idle Rate, &lt;= 1.18 gal/rack</t>
  </si>
  <si>
    <t>FSTC Qualified</t>
  </si>
  <si>
    <t>&gt;=50% Cooking Efficiency, &lt;=35,000 Btu/hr Idle Rate</t>
  </si>
  <si>
    <t>Steamer - 6 Pan</t>
  </si>
  <si>
    <t>Connectionless Estar or CEE Qualified</t>
  </si>
  <si>
    <t>&gt;=38% Cooking Efficiency,&lt;= 2083  Btu/hr /pan Idle Rate</t>
  </si>
  <si>
    <t>Griddle (Restaurant)</t>
  </si>
  <si>
    <t>&gt;=38% Cooking Efficiency,&lt;= 2650 Btu/hr-sq ft Idle Rate</t>
  </si>
  <si>
    <t>/griddle</t>
  </si>
  <si>
    <t>Fryer (Restaurant)</t>
  </si>
  <si>
    <t>&gt;=50% Cooking Efficiency</t>
  </si>
  <si>
    <t>/fryer</t>
  </si>
  <si>
    <t>Steamer - 3 Pan</t>
  </si>
  <si>
    <t>Domestic Hot Water Tanks - Condensing</t>
  </si>
  <si>
    <t>/kBtu/hr in</t>
  </si>
  <si>
    <t>FSTC Qualified Gas Fired Conveyor Oven</t>
  </si>
  <si>
    <t>&gt;=42% Baking Efficiency</t>
  </si>
  <si>
    <t>Tankless Water Heater</t>
  </si>
  <si>
    <t>/gpm</t>
  </si>
  <si>
    <t>Warm-Air Furnace</t>
  </si>
  <si>
    <t>High-Efficiency Condensing Furnace</t>
  </si>
  <si>
    <t>Minimum  91% AFUE</t>
  </si>
  <si>
    <t>Direct-fired Radiant Heating</t>
  </si>
  <si>
    <t>Minimum .87 Energy Factor</t>
  </si>
  <si>
    <t>Minimum 90% Thermal Efficiency and 300 kBtu/hr input</t>
  </si>
  <si>
    <t>Tankless Water Heater - Tier 2</t>
  </si>
  <si>
    <t>Minimum .93 Energy Factor</t>
  </si>
  <si>
    <t>High-Efficiency-Condensing Boiler</t>
  </si>
  <si>
    <t>Insulation - Attic - Tier 1 - Min R-30</t>
  </si>
  <si>
    <t>Tier 1 /  Minimum R-30</t>
  </si>
  <si>
    <t>/sq.ft.</t>
  </si>
  <si>
    <t>Insulation - Wall - Tier 1 - Min R-11</t>
  </si>
  <si>
    <t>Wall Insulation</t>
  </si>
  <si>
    <t>Tier 1 / Minimum R-11</t>
  </si>
  <si>
    <t>Insulation - Roof - Tier 2 - Min R-30</t>
  </si>
  <si>
    <t>Roof Insulation</t>
  </si>
  <si>
    <t>Tier 2 /  Minimum R-30</t>
  </si>
  <si>
    <t>Insulation - Wall - Tier 2 - Min R-19</t>
  </si>
  <si>
    <t>Tier 2 /  Minimum R-19</t>
  </si>
  <si>
    <t>/sq. ft.</t>
  </si>
  <si>
    <t>Insulation - Roof - Tier 1 - Min R-21</t>
  </si>
  <si>
    <t>Tier 1 /  Minimum R-21</t>
  </si>
  <si>
    <t>Insulation - Attic - Tier 2 - Min R-45</t>
  </si>
  <si>
    <t>Tier 2 /  Minimum R-45</t>
  </si>
  <si>
    <t>Windows</t>
  </si>
  <si>
    <t>Single pane to .27 or less (not LoadMAP's .50 to .22) per sq ft</t>
  </si>
  <si>
    <t>0.27 or less U</t>
  </si>
  <si>
    <t>Boiler Steam Trap</t>
  </si>
  <si>
    <t>Convection Oven (Grocery)</t>
  </si>
  <si>
    <t>Convection Oven (Lodging)</t>
  </si>
  <si>
    <t>Convection Oven (School)</t>
  </si>
  <si>
    <t>DHW Recirculation Controls</t>
  </si>
  <si>
    <t>Fryer (Grocery)</t>
  </si>
  <si>
    <t>Fryer (Lodging)</t>
  </si>
  <si>
    <t>Fryer (School)</t>
  </si>
  <si>
    <t>Griddle (Grocery)</t>
  </si>
  <si>
    <t>Griddle (Lodging)</t>
  </si>
  <si>
    <t>Griddle (School)</t>
  </si>
  <si>
    <t>HVAC Unit Heater - Condensing</t>
  </si>
  <si>
    <t>HVAC Unit Heater - Non-Condensing</t>
  </si>
  <si>
    <t>Insulation - Pipe - 1.5"</t>
  </si>
  <si>
    <t>Insulation - Pipe - 2.5"</t>
  </si>
  <si>
    <t>Low Temp Multi Tank Dishwasher</t>
  </si>
  <si>
    <t>Ozone Injection Laundry</t>
  </si>
  <si>
    <t>Steam Trap fitted to Steam Boiler</t>
  </si>
  <si>
    <t>Minimum 300 kBtu input and steam pressures at 7psig or greater</t>
  </si>
  <si>
    <t>Minimum 1,000 kBtu/hr input</t>
  </si>
  <si>
    <t>Schedule Control for Continuous Operation DHW Recirculation Pump</t>
  </si>
  <si>
    <t>Add time clock or other schedule control for continuous operation DHW recirculation pump</t>
  </si>
  <si>
    <t>High Efficiency Condensing</t>
  </si>
  <si>
    <t>High-Efficiency-Non-Condensing Unit Heater with Electronic Ignition</t>
  </si>
  <si>
    <t>Floor Insulation</t>
  </si>
  <si>
    <t>Equal to or greater than R-30 Post and equal to or less than R-11 Pre</t>
  </si>
  <si>
    <t xml:space="preserve">1.5" Thick Pipe Insulation </t>
  </si>
  <si>
    <t>Retrofit for T&gt;140F&lt;=200F</t>
  </si>
  <si>
    <t>2.5" Thick Pipe Insulation</t>
  </si>
  <si>
    <t>Retrofit for T&gt;200F</t>
  </si>
  <si>
    <t>&lt;=2kW Idle Rate, &lt;=.50 gal/rack</t>
  </si>
  <si>
    <t>Venturi Injection or Bubble Diffusion Ozone Injection Laundry</t>
  </si>
  <si>
    <t>Minimum 125 lb Total Washer/Extractor Capacity  and Pre Approved by CNG</t>
  </si>
  <si>
    <t>/controller</t>
  </si>
  <si>
    <t>/LF</t>
  </si>
  <si>
    <t>/system</t>
  </si>
  <si>
    <t>Energy Saver Kit A - 30 therms</t>
  </si>
  <si>
    <t>Energy Saver Kit A - 59 therms</t>
  </si>
  <si>
    <t>Insulation - Floor</t>
  </si>
  <si>
    <t>Custom Other - Laundrey Ozone Injection System</t>
  </si>
  <si>
    <t>Custom Other - Combi Ovens</t>
  </si>
  <si>
    <t>Custom DDC Controls - Custom DDC Controls</t>
  </si>
  <si>
    <t>Custom Heat Recovery - AHU Heat Recovery</t>
  </si>
  <si>
    <t>Custom Hood System M/U Air Reduction - CaptiveAire Hood MUA DCV Control</t>
  </si>
  <si>
    <t>Custom Other - ERV Units</t>
  </si>
  <si>
    <t>Custom Other - Custom Air Handling Units</t>
  </si>
  <si>
    <t>Custom DDC Controls - HVAC Control Optimization</t>
  </si>
  <si>
    <t>Custom Other - DOAS units</t>
  </si>
  <si>
    <t>non-energy</t>
  </si>
  <si>
    <t>Total 2021 Program Admin.</t>
  </si>
  <si>
    <t>COMBOILERS2-19-19</t>
  </si>
  <si>
    <t>COMBOILSTP-NT</t>
  </si>
  <si>
    <t>COMBOILVTD</t>
  </si>
  <si>
    <t>COMFSOVENGROC2-19-19</t>
  </si>
  <si>
    <t>COMFSOVENLODGE2-19-19</t>
  </si>
  <si>
    <t>COMFSOVENREST2-19-19</t>
  </si>
  <si>
    <t>COMFSOVENSCHO2-19-19</t>
  </si>
  <si>
    <t>COMDCV-7-17</t>
  </si>
  <si>
    <t>COMDHWRCTR2-19-19</t>
  </si>
  <si>
    <t>COMDHWTSCT</t>
  </si>
  <si>
    <t>COMFSDOVEN2-19-19</t>
  </si>
  <si>
    <t>COMESVKTA2-19-19</t>
  </si>
  <si>
    <t>COMESVKTA30</t>
  </si>
  <si>
    <t>COMESVKTA59</t>
  </si>
  <si>
    <t>COMFSFRYERGROC2-19-19</t>
  </si>
  <si>
    <t>COMFSFRYERLODGE2-19-19</t>
  </si>
  <si>
    <t>COMFSFRYERREST2-19-19</t>
  </si>
  <si>
    <t>COMFSFRYERSCHO2-19-19</t>
  </si>
  <si>
    <t>COMFSCVROVEN2-19-19</t>
  </si>
  <si>
    <t>COMFSGRIDGROC-7-17</t>
  </si>
  <si>
    <t>COMFSGRIDLODGE-7-17</t>
  </si>
  <si>
    <t>COMFSGRIDREST-7-17</t>
  </si>
  <si>
    <t>COMFSGRIDSCHO-7-17</t>
  </si>
  <si>
    <t>COMHVACCON2-19-19</t>
  </si>
  <si>
    <t>COMIAT12-19-19</t>
  </si>
  <si>
    <t>COMIAT22-19-19</t>
  </si>
  <si>
    <t>COMFLOORINS2-19-19</t>
  </si>
  <si>
    <t>COMPIPINS1.52-19-19</t>
  </si>
  <si>
    <t>COMPIPINS2.52-19-19</t>
  </si>
  <si>
    <t>COMIRT12-19-19</t>
  </si>
  <si>
    <t>COMIRT22-19-19</t>
  </si>
  <si>
    <t>COMIWT12-19-19</t>
  </si>
  <si>
    <t>COMIWT22-19-19</t>
  </si>
  <si>
    <t>COMFSDISDL-7-17</t>
  </si>
  <si>
    <t>COMFSDISML2-19-19</t>
  </si>
  <si>
    <t>COMMTNFCTR</t>
  </si>
  <si>
    <t>COMOZNLNDRY</t>
  </si>
  <si>
    <t>COMRADIANT2-19-19</t>
  </si>
  <si>
    <t>COMFSSTM3P-NT</t>
  </si>
  <si>
    <t>COMFSSTM6P</t>
  </si>
  <si>
    <t>COMTANKLESST12-19-19</t>
  </si>
  <si>
    <t>COMTANKLESST22-19-19</t>
  </si>
  <si>
    <t>COMFURNACE2-19-19</t>
  </si>
  <si>
    <t>COMWINDOWS2-19-19</t>
  </si>
  <si>
    <t>Bonus - Re-COV-ery D (3 or more measures)</t>
  </si>
  <si>
    <t>Re-COV-ery Bundle D</t>
  </si>
  <si>
    <t>Any 3 measures for facilities under 50,000 sq ft</t>
  </si>
  <si>
    <t>COMFSBNDLA2-19-19</t>
  </si>
  <si>
    <t>COMRECOVBNDL</t>
  </si>
  <si>
    <t>COMFSBNDLB2-19-19</t>
  </si>
  <si>
    <t>COMINSBNDL-7-17</t>
  </si>
  <si>
    <t>Bonus - HVAC</t>
  </si>
  <si>
    <t>COMHVACBNS2021</t>
  </si>
  <si>
    <t>HVAC Bonus</t>
  </si>
  <si>
    <t>Must present coupon</t>
  </si>
  <si>
    <t>COMFSBNDLA-7-17</t>
  </si>
  <si>
    <t>COMFSBNDLB-7-17</t>
  </si>
  <si>
    <t>not offered</t>
  </si>
  <si>
    <t>duplicate</t>
  </si>
  <si>
    <t>LOADED  UTILITY  BENEFIT  TO  COST  RATIO</t>
  </si>
  <si>
    <t>TOTAL  RESOURCE  COST</t>
  </si>
  <si>
    <t>TRC  W/DELIVERY  &amp;  ADMIN</t>
  </si>
  <si>
    <t>LOADED  SOCIETAL  BENEFIT  TO  COST  RATIO</t>
  </si>
  <si>
    <t>UC  W/DELIVERY  &amp;  ADMIN</t>
  </si>
  <si>
    <t>UTILITY  COST</t>
  </si>
  <si>
    <t>UNITS INSTALLED</t>
  </si>
  <si>
    <t>TOTAL ANNUAL THERM SAVINGS</t>
  </si>
  <si>
    <t>MEASURE INCREMENTAL COST</t>
  </si>
  <si>
    <t>TOTAL INCREMENTAL COST</t>
  </si>
  <si>
    <t>PARTICIPANT NEBS</t>
  </si>
  <si>
    <t>TOTAL  NET  INCREMENTAL  COST  WITH  NEBS</t>
  </si>
  <si>
    <t>MEASURE LIFE</t>
  </si>
  <si>
    <t>DISCOUNTED THERM SAVINGS</t>
  </si>
  <si>
    <t>PROGRAM DELIVERY AND ADMIN</t>
  </si>
  <si>
    <t>PROGRAM REBATE</t>
  </si>
  <si>
    <t>CALCULATED REBATE COST</t>
  </si>
  <si>
    <t>REBATES BASED ON CAPPED INCENTIVES</t>
  </si>
  <si>
    <t>UNIT</t>
  </si>
  <si>
    <t>TOTAL MEASURE COUNT</t>
  </si>
  <si>
    <t>ANNUAL THERM SAVINGS</t>
  </si>
  <si>
    <t>Measure Mapping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</si>
  <si>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</si>
  <si>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</si>
  <si>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</si>
  <si>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</si>
  <si>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</si>
  <si>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</si>
  <si>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008459</t>
  </si>
  <si>
    <t>008460</t>
  </si>
  <si>
    <t>008477</t>
  </si>
  <si>
    <t>008420</t>
  </si>
  <si>
    <t>008405</t>
  </si>
  <si>
    <t>008406</t>
  </si>
  <si>
    <t>008476</t>
  </si>
  <si>
    <t>008473</t>
  </si>
  <si>
    <t>008377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</si>
</sst>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00%"/>
    <numFmt numFmtId="166" formatCode="#,##0.000"/>
    <numFmt numFmtId="167" formatCode="&quot;$&quot;#,##0.00"/>
    <numFmt numFmtId="168" formatCode="_(&quot;$&quot;* #,##0_);_(&quot;$&quot;* \(#,##0\);_(&quot;$&quot;* &quot;-&quot;??_);_(@_)"/>
    <numFmt numFmtId="169" formatCode="_(* #,##0_);_(* \(#,##0\);_(* &quot;-&quot;??_);_(@_)"/>
    <numFmt numFmtId="171" formatCode="\$#,##0.00;\$\-#,##0.00"/>
    <numFmt numFmtId="172" formatCode="\$#,##0.00"/>
    <numFmt numFmtId="173" formatCode="\$#,##0.00;\$\(#,##0.00\)\ "/>
    <numFmt numFmtId="174" formatCode="\$#,##0.000"/>
    <numFmt numFmtId="175" formatCode="#,##0.000;\(#,##0.000\)\ "/>
    <numFmt numFmtId="176" formatCode="\$#,##0.000;\$\(#,##0.000\)\ "/>
    <numFmt numFmtId="177" formatCode="\$#,##0.000;\$\(#,##0.000\)"/>
    <numFmt numFmtId="178" formatCode="\$#,##0.00;\$\(#,##0.00\)"/>
    <numFmt numFmtId="179" formatCode="0.000"/>
    <numFmt numFmtId="180" formatCode="#,##0.00%"/>
    <numFmt numFmtId="181" formatCode="\$#,##0.0000;\$\-#,##0.0000"/>
    <numFmt numFmtId="182" formatCode="\$#,##0.##;\$\-#,##0.##"/>
  </numFmts>
  <fonts count="2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b/>
      <sz val="10"/>
      <color theme="0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11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/>
      <top/>
      <bottom/>
      <diagonal/>
    </border>
    <border>
      <left/>
      <right style="medium">
        <color rgb="FFD6D2D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12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44" fontId="4" fillId="0" borderId="0" xfId="4" applyNumberFormat="1" applyFont="1" applyFill="1"/>
    <xf numFmtId="0" fontId="3" fillId="0" borderId="0" xfId="3" applyFont="1" applyFill="1"/>
    <xf numFmtId="165" fontId="4" fillId="0" borderId="0" xfId="4" applyNumberFormat="1" applyFont="1" applyFill="1"/>
    <xf numFmtId="165" fontId="4" fillId="0" borderId="0" xfId="4" applyNumberFormat="1" applyFont="1"/>
    <xf numFmtId="165" fontId="4" fillId="0" borderId="0" xfId="3" applyNumberFormat="1" applyFont="1"/>
    <xf numFmtId="10" fontId="4" fillId="0" borderId="0" xfId="3" applyNumberFormat="1" applyFont="1"/>
    <xf numFmtId="10" fontId="4" fillId="0" borderId="0" xfId="4" applyNumberFormat="1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2" fontId="4" fillId="0" borderId="0" xfId="2" applyNumberFormat="1" applyFont="1" applyFill="1" applyBorder="1"/>
    <xf numFmtId="0" fontId="4" fillId="0" borderId="0" xfId="1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0" fontId="4" fillId="0" borderId="0" xfId="0" applyNumberFormat="1" applyFont="1" applyFill="1" applyAlignment="1" applyProtection="1">
      <alignment horizontal="left"/>
    </xf>
    <xf numFmtId="2" fontId="4" fillId="0" borderId="0" xfId="0" applyNumberFormat="1" applyFont="1" applyFill="1" applyAlignment="1" applyProtection="1">
      <alignment horizontal="center"/>
    </xf>
    <xf numFmtId="10" fontId="4" fillId="0" borderId="0" xfId="0" applyNumberFormat="1" applyFont="1" applyFill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168" fontId="3" fillId="0" borderId="0" xfId="2" applyNumberFormat="1" applyFont="1" applyFill="1" applyBorder="1" applyAlignment="1">
      <alignment horizontal="center"/>
    </xf>
    <xf numFmtId="169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/>
    <xf numFmtId="166" fontId="3" fillId="0" borderId="0" xfId="0" applyNumberFormat="1" applyFont="1" applyFill="1" applyBorder="1" applyAlignment="1">
      <alignment horizontal="center"/>
    </xf>
    <xf numFmtId="2" fontId="4" fillId="0" borderId="0" xfId="1" applyNumberFormat="1" applyFont="1" applyFill="1" applyAlignment="1" applyProtection="1">
      <alignment horizontal="center"/>
    </xf>
    <xf numFmtId="3" fontId="8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 applyProtection="1">
      <alignment horizontal="center"/>
    </xf>
    <xf numFmtId="7" fontId="4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7" fontId="4" fillId="0" borderId="0" xfId="0" applyNumberFormat="1" applyFont="1" applyFill="1"/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/>
    </xf>
    <xf numFmtId="0" fontId="4" fillId="0" borderId="0" xfId="0" applyFont="1"/>
    <xf numFmtId="4" fontId="11" fillId="0" borderId="0" xfId="5" applyNumberFormat="1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171" fontId="19" fillId="0" borderId="3" xfId="0" applyNumberFormat="1" applyFont="1" applyBorder="1" applyAlignment="1">
      <alignment horizontal="center" vertical="center" wrapText="1"/>
    </xf>
    <xf numFmtId="172" fontId="19" fillId="0" borderId="3" xfId="0" applyNumberFormat="1" applyFont="1" applyBorder="1" applyAlignment="1">
      <alignment horizontal="center" vertical="center" wrapText="1"/>
    </xf>
    <xf numFmtId="173" fontId="19" fillId="0" borderId="3" xfId="0" applyNumberFormat="1" applyFont="1" applyBorder="1" applyAlignment="1">
      <alignment horizontal="center" vertical="center" wrapText="1"/>
    </xf>
    <xf numFmtId="174" fontId="19" fillId="0" borderId="3" xfId="0" applyNumberFormat="1" applyFont="1" applyBorder="1" applyAlignment="1">
      <alignment horizontal="center" vertical="center" wrapText="1"/>
    </xf>
    <xf numFmtId="175" fontId="19" fillId="0" borderId="3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171" fontId="19" fillId="3" borderId="3" xfId="0" applyNumberFormat="1" applyFont="1" applyFill="1" applyBorder="1" applyAlignment="1">
      <alignment horizontal="center" vertical="center" wrapText="1"/>
    </xf>
    <xf numFmtId="172" fontId="19" fillId="3" borderId="3" xfId="0" applyNumberFormat="1" applyFont="1" applyFill="1" applyBorder="1" applyAlignment="1">
      <alignment horizontal="center" vertical="center" wrapText="1"/>
    </xf>
    <xf numFmtId="173" fontId="19" fillId="3" borderId="3" xfId="0" applyNumberFormat="1" applyFont="1" applyFill="1" applyBorder="1" applyAlignment="1">
      <alignment horizontal="center" vertical="center" wrapText="1"/>
    </xf>
    <xf numFmtId="174" fontId="19" fillId="3" borderId="3" xfId="0" applyNumberFormat="1" applyFont="1" applyFill="1" applyBorder="1" applyAlignment="1">
      <alignment horizontal="center" vertical="center" wrapText="1"/>
    </xf>
    <xf numFmtId="175" fontId="19" fillId="3" borderId="3" xfId="0" applyNumberFormat="1" applyFont="1" applyFill="1" applyBorder="1" applyAlignment="1">
      <alignment horizontal="center" vertical="center" wrapText="1"/>
    </xf>
    <xf numFmtId="176" fontId="19" fillId="3" borderId="3" xfId="0" applyNumberFormat="1" applyFont="1" applyFill="1" applyBorder="1" applyAlignment="1">
      <alignment horizontal="center" vertical="center" wrapText="1"/>
    </xf>
    <xf numFmtId="177" fontId="19" fillId="3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3" fontId="23" fillId="4" borderId="4" xfId="0" applyNumberFormat="1" applyFont="1" applyFill="1" applyBorder="1" applyAlignment="1">
      <alignment horizontal="center" vertical="center" wrapText="1"/>
    </xf>
    <xf numFmtId="4" fontId="23" fillId="4" borderId="5" xfId="0" applyNumberFormat="1" applyFont="1" applyFill="1" applyBorder="1" applyAlignment="1">
      <alignment horizontal="center" vertical="center" wrapText="1"/>
    </xf>
    <xf numFmtId="4" fontId="18" fillId="4" borderId="4" xfId="0" applyNumberFormat="1" applyFont="1" applyFill="1" applyBorder="1" applyAlignment="1">
      <alignment horizontal="center" vertical="center" wrapText="1"/>
    </xf>
    <xf numFmtId="178" fontId="23" fillId="4" borderId="5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 wrapText="1"/>
    </xf>
    <xf numFmtId="178" fontId="18" fillId="4" borderId="4" xfId="0" applyNumberFormat="1" applyFont="1" applyFill="1" applyBorder="1" applyAlignment="1">
      <alignment horizontal="center" vertical="center" wrapText="1"/>
    </xf>
    <xf numFmtId="175" fontId="23" fillId="4" borderId="5" xfId="0" applyNumberFormat="1" applyFont="1" applyFill="1" applyBorder="1" applyAlignment="1">
      <alignment horizontal="center" vertical="center" wrapText="1"/>
    </xf>
    <xf numFmtId="167" fontId="23" fillId="4" borderId="5" xfId="2" applyNumberFormat="1" applyFont="1" applyFill="1" applyBorder="1" applyAlignment="1">
      <alignment horizontal="center" vertical="center" wrapText="1"/>
    </xf>
    <xf numFmtId="179" fontId="23" fillId="4" borderId="5" xfId="0" applyNumberFormat="1" applyFont="1" applyFill="1" applyBorder="1" applyAlignment="1">
      <alignment horizontal="center" vertical="center" wrapText="1"/>
    </xf>
    <xf numFmtId="167" fontId="23" fillId="4" borderId="5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167" fontId="18" fillId="2" borderId="2" xfId="0" applyNumberFormat="1" applyFont="1" applyFill="1" applyBorder="1" applyAlignment="1">
      <alignment horizontal="center" vertical="center" wrapText="1"/>
    </xf>
    <xf numFmtId="43" fontId="19" fillId="0" borderId="3" xfId="1" applyFont="1" applyBorder="1" applyAlignment="1">
      <alignment horizontal="center" vertical="center" wrapText="1"/>
    </xf>
    <xf numFmtId="43" fontId="19" fillId="3" borderId="3" xfId="1" applyFont="1" applyFill="1" applyBorder="1" applyAlignment="1">
      <alignment horizontal="center" vertical="center" wrapText="1"/>
    </xf>
    <xf numFmtId="43" fontId="18" fillId="2" borderId="2" xfId="1" applyFont="1" applyFill="1" applyBorder="1" applyAlignment="1">
      <alignment horizontal="center" vertical="center" wrapText="1"/>
    </xf>
    <xf numFmtId="43" fontId="23" fillId="4" borderId="5" xfId="1" applyFont="1" applyFill="1" applyBorder="1" applyAlignment="1">
      <alignment horizontal="center" vertical="center" wrapText="1"/>
    </xf>
    <xf numFmtId="179" fontId="19" fillId="0" borderId="3" xfId="0" applyNumberFormat="1" applyFont="1" applyBorder="1" applyAlignment="1">
      <alignment horizontal="center" vertical="center" wrapText="1"/>
    </xf>
    <xf numFmtId="179" fontId="19" fillId="3" borderId="3" xfId="0" applyNumberFormat="1" applyFont="1" applyFill="1" applyBorder="1" applyAlignment="1">
      <alignment horizontal="center" vertical="center" wrapText="1"/>
    </xf>
    <xf numFmtId="179" fontId="18" fillId="2" borderId="2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80" fontId="25" fillId="0" borderId="3" xfId="0" applyNumberFormat="1" applyFont="1" applyBorder="1" applyAlignment="1">
      <alignment horizontal="left" vertical="center" wrapText="1"/>
    </xf>
    <xf numFmtId="171" fontId="25" fillId="0" borderId="3" xfId="0" applyNumberFormat="1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171" fontId="26" fillId="0" borderId="8" xfId="0" applyNumberFormat="1" applyFont="1" applyBorder="1" applyAlignment="1">
      <alignment horizontal="center" vertical="center" wrapText="1"/>
    </xf>
    <xf numFmtId="9" fontId="26" fillId="0" borderId="8" xfId="4" applyFont="1" applyFill="1" applyBorder="1" applyAlignment="1" applyProtection="1">
      <alignment horizontal="center" vertical="center" wrapText="1"/>
    </xf>
    <xf numFmtId="181" fontId="26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7" fontId="25" fillId="0" borderId="3" xfId="4" applyNumberFormat="1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182" fontId="26" fillId="0" borderId="8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" fillId="0" borderId="0" xfId="3" applyFont="1" applyFill="1" applyAlignment="1">
      <alignment horizontal="center"/>
    </xf>
  </cellXfs>
  <cellStyles count="21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10" xfId="20" xr:uid="{49E0050A-87AA-4EB7-8984-F9DB2B2592F6}"/>
    <cellStyle name="Normal 2" xfId="8" xr:uid="{00000000-0005-0000-0000-000009000000}"/>
    <cellStyle name="Normal 3" xfId="5" xr:uid="{00000000-0005-0000-0000-00000A000000}"/>
    <cellStyle name="Normal 4" xfId="9" xr:uid="{00000000-0005-0000-0000-00000B000000}"/>
    <cellStyle name="Normal 5" xfId="15" xr:uid="{00000000-0005-0000-0000-00000C000000}"/>
    <cellStyle name="Normal 6" xfId="16" xr:uid="{00000000-0005-0000-0000-00000D000000}"/>
    <cellStyle name="Normal 7" xfId="17" xr:uid="{00000000-0005-0000-0000-00000E000000}"/>
    <cellStyle name="Normal 8" xfId="18" xr:uid="{00000000-0005-0000-0000-00000F000000}"/>
    <cellStyle name="Normal 9" xfId="19" xr:uid="{00000000-0005-0000-0000-000010000000}"/>
    <cellStyle name="Normal_Copy of Avoided Cost adjusted Final" xfId="3" xr:uid="{00000000-0005-0000-0000-000011000000}"/>
    <cellStyle name="Percent" xfId="4" builtinId="5"/>
    <cellStyle name="Percent 2" xfId="14" xr:uid="{00000000-0005-0000-0000-000014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microsoft.com/office/2017/10/relationships/person" Target="persons/perso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100C6B16-5DAD-492C-9B72-BD34F18EBF06}" userId="S::Jon.Storvick@cngc.com::28eddeee-209e-4925-9513-23bbf73119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58" dT="2022-03-17T22:02:39.87" personId="{100C6B16-5DAD-492C-9B72-BD34F18EBF06}" id="{E3735F46-87CC-4C55-850D-14C09AAD7880}">
    <text>This is an admin cost, not to be included in rebate total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Z89"/>
  <sheetViews>
    <sheetView tabSelected="1" showOutlineSymbols="0" zoomScaleNormal="100" workbookViewId="0"/>
  </sheetViews>
  <sheetFormatPr defaultColWidth="16.1640625" defaultRowHeight="12.75" x14ac:dyDescent="0.2"/>
  <cols>
    <col min="1" max="1" width="68.1640625" style="1" customWidth="1"/>
    <col min="2" max="2" width="49" style="1" bestFit="1" customWidth="1" collapsed="1"/>
    <col min="3" max="3" width="69.83203125" style="20" bestFit="1" customWidth="1"/>
    <col min="4" max="4" width="91.1640625" style="20" bestFit="1" customWidth="1"/>
    <col min="5" max="5" width="28.33203125" style="21" bestFit="1" customWidth="1"/>
    <col min="6" max="6" width="29.33203125" style="2" bestFit="1" customWidth="1"/>
    <col min="7" max="7" width="11.1640625" style="2" bestFit="1" customWidth="1"/>
    <col min="8" max="8" width="20.6640625" style="19" bestFit="1" customWidth="1"/>
    <col min="9" max="9" width="37.5" style="19" bestFit="1" customWidth="1"/>
    <col min="10" max="10" width="35.33203125" style="1" bestFit="1" customWidth="1"/>
    <col min="11" max="11" width="31.83203125" style="1" bestFit="1" customWidth="1"/>
    <col min="12" max="12" width="22.6640625" style="1" bestFit="1" customWidth="1"/>
    <col min="13" max="13" width="53.6640625" style="1" bestFit="1" customWidth="1"/>
    <col min="14" max="14" width="17.1640625" style="1" bestFit="1" customWidth="1"/>
    <col min="15" max="15" width="34.83203125" style="1" bestFit="1" customWidth="1"/>
    <col min="16" max="16" width="37.33203125" style="2" bestFit="1" customWidth="1"/>
    <col min="17" max="17" width="22" style="2" bestFit="1" customWidth="1"/>
    <col min="18" max="18" width="32.1640625" style="22" bestFit="1" customWidth="1"/>
    <col min="19" max="19" width="47.5" style="22" bestFit="1" customWidth="1"/>
    <col min="20" max="20" width="20.83203125" style="2" bestFit="1" customWidth="1"/>
    <col min="21" max="21" width="30.83203125" style="2" bestFit="1" customWidth="1"/>
    <col min="22" max="22" width="51.1640625" style="2" bestFit="1" customWidth="1"/>
    <col min="23" max="23" width="11.6640625" style="2" customWidth="1"/>
    <col min="24" max="24" width="29.5" style="2" bestFit="1" customWidth="1"/>
    <col min="25" max="25" width="32.1640625" style="2" bestFit="1" customWidth="1"/>
    <col min="26" max="26" width="53.83203125" style="1" bestFit="1" customWidth="1"/>
  </cols>
  <sheetData>
    <row r="1" spans="1:26" ht="27.75" customHeight="1" thickBot="1" x14ac:dyDescent="0.25">
      <c r="A1" s="80" t="s">
        <v>28</v>
      </c>
      <c r="B1" s="115" t="s">
        <v>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7"/>
    </row>
    <row r="2" spans="1:26" ht="22.5" customHeight="1" thickBot="1" x14ac:dyDescent="0.25">
      <c r="A2" s="81">
        <v>2021</v>
      </c>
      <c r="B2" s="118" t="s">
        <v>26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ht="33" customHeight="1" thickBot="1" x14ac:dyDescent="0.25">
      <c r="A3" s="60" t="s">
        <v>243</v>
      </c>
      <c r="B3" s="60" t="s">
        <v>2</v>
      </c>
      <c r="C3" s="60" t="s">
        <v>8</v>
      </c>
      <c r="D3" s="60" t="s">
        <v>13</v>
      </c>
      <c r="E3" s="60" t="s">
        <v>241</v>
      </c>
      <c r="F3" s="60" t="s">
        <v>242</v>
      </c>
      <c r="G3" s="60" t="s">
        <v>240</v>
      </c>
      <c r="H3" s="60" t="s">
        <v>228</v>
      </c>
      <c r="I3" s="60" t="s">
        <v>229</v>
      </c>
      <c r="J3" s="60" t="s">
        <v>230</v>
      </c>
      <c r="K3" s="60" t="s">
        <v>231</v>
      </c>
      <c r="L3" s="60" t="s">
        <v>232</v>
      </c>
      <c r="M3" s="60" t="s">
        <v>233</v>
      </c>
      <c r="N3" s="60" t="s">
        <v>234</v>
      </c>
      <c r="O3" s="60" t="s">
        <v>235</v>
      </c>
      <c r="P3" s="60" t="s">
        <v>236</v>
      </c>
      <c r="Q3" s="60" t="s">
        <v>237</v>
      </c>
      <c r="R3" s="60" t="s">
        <v>238</v>
      </c>
      <c r="S3" s="60" t="s">
        <v>239</v>
      </c>
      <c r="T3" s="60" t="s">
        <v>227</v>
      </c>
      <c r="U3" s="60" t="s">
        <v>226</v>
      </c>
      <c r="V3" s="60" t="s">
        <v>222</v>
      </c>
      <c r="W3" s="60"/>
      <c r="X3" s="60" t="s">
        <v>223</v>
      </c>
      <c r="Y3" s="60" t="s">
        <v>224</v>
      </c>
      <c r="Z3" s="60" t="s">
        <v>225</v>
      </c>
    </row>
    <row r="4" spans="1:26" ht="13.5" thickBot="1" x14ac:dyDescent="0.25">
      <c r="A4" s="61" t="s">
        <v>163</v>
      </c>
      <c r="B4" s="61" t="s">
        <v>31</v>
      </c>
      <c r="C4" s="61" t="s">
        <v>93</v>
      </c>
      <c r="D4" s="62" t="s">
        <v>90</v>
      </c>
      <c r="E4" s="62">
        <v>46</v>
      </c>
      <c r="F4" s="97">
        <v>1.5</v>
      </c>
      <c r="G4" s="63" t="s">
        <v>80</v>
      </c>
      <c r="H4" s="97">
        <v>78637.8</v>
      </c>
      <c r="I4" s="97">
        <f t="shared" ref="I4:I35" si="0">H4*F4</f>
        <v>117956.70000000001</v>
      </c>
      <c r="J4" s="65">
        <v>8.89</v>
      </c>
      <c r="K4" s="66">
        <f t="shared" ref="K4:K51" si="1">H4*J4</f>
        <v>699090.04200000002</v>
      </c>
      <c r="L4" s="94">
        <f t="shared" ref="L4:L16" si="2">PV($B$74,$N4,(-0.05*0.9*$F4))</f>
        <v>0.96807601440630597</v>
      </c>
      <c r="M4" s="94">
        <f t="shared" ref="M4:M35" si="3">MAX(0,H4*(J4-L4))</f>
        <v>622962.67399431986</v>
      </c>
      <c r="N4" s="62">
        <v>20</v>
      </c>
      <c r="O4" s="63">
        <f t="shared" ref="O4:O35" si="4">PV($B$74,N4,-I4)</f>
        <v>1691719.2890151157</v>
      </c>
      <c r="P4" s="64">
        <f t="shared" ref="P4:P35" si="5">$B$77*I4/SUM($I$4:$I$51)</f>
        <v>444511.77752418502</v>
      </c>
      <c r="Q4" s="65">
        <v>6</v>
      </c>
      <c r="R4" s="67">
        <f t="shared" ref="R4:R35" si="6">H4*Q4</f>
        <v>471826.80000000005</v>
      </c>
      <c r="S4" s="67">
        <v>0</v>
      </c>
      <c r="T4" s="94">
        <f t="shared" ref="T4:T35" si="7">IF(ISERROR(R4/O4),0,R4/O4)</f>
        <v>0.27890371828454347</v>
      </c>
      <c r="U4" s="69">
        <f t="shared" ref="U4:U35" si="8">IF(O4=0,0,(R4+P4)/O4)</f>
        <v>0.5416611275134533</v>
      </c>
      <c r="V4" s="101">
        <f t="shared" ref="V4:V35" si="9">IF($R4=0,"-",(VLOOKUP($N4,AC,6)*$I4)/($R4+$P4))</f>
        <v>2.7212758198392053</v>
      </c>
      <c r="W4" s="68"/>
      <c r="X4" s="94">
        <f t="shared" ref="X4:X35" si="10">IF(ISERROR(M4/O4),0,M4/O4)</f>
        <v>0.3682423425915986</v>
      </c>
      <c r="Y4" s="94">
        <f t="shared" ref="Y4:Y35" si="11">IF(O4=0,0,(M4+P4)/O4)</f>
        <v>0.63099975182050838</v>
      </c>
      <c r="Z4" s="101">
        <f t="shared" ref="Z4:Z35" si="12">IF($M4=0,"-",(VLOOKUP($N4,AC,4)*$I4)/(M4+P4))</f>
        <v>2.1236275876589796</v>
      </c>
    </row>
    <row r="5" spans="1:26" ht="13.5" thickBot="1" x14ac:dyDescent="0.25">
      <c r="A5" s="70" t="s">
        <v>164</v>
      </c>
      <c r="B5" s="70" t="s">
        <v>113</v>
      </c>
      <c r="C5" s="70" t="s">
        <v>130</v>
      </c>
      <c r="D5" s="71" t="s">
        <v>131</v>
      </c>
      <c r="E5" s="71">
        <v>0</v>
      </c>
      <c r="F5" s="98">
        <v>136.9</v>
      </c>
      <c r="G5" s="72" t="s">
        <v>27</v>
      </c>
      <c r="H5" s="98">
        <v>0</v>
      </c>
      <c r="I5" s="98">
        <f t="shared" si="0"/>
        <v>0</v>
      </c>
      <c r="J5" s="74">
        <v>315</v>
      </c>
      <c r="K5" s="75">
        <f t="shared" si="1"/>
        <v>0</v>
      </c>
      <c r="L5" s="95">
        <f t="shared" si="2"/>
        <v>37.809625603876327</v>
      </c>
      <c r="M5" s="95">
        <f t="shared" si="3"/>
        <v>0</v>
      </c>
      <c r="N5" s="71">
        <v>7</v>
      </c>
      <c r="O5" s="72">
        <f t="shared" si="4"/>
        <v>0</v>
      </c>
      <c r="P5" s="73">
        <f t="shared" si="5"/>
        <v>0</v>
      </c>
      <c r="Q5" s="74">
        <v>125</v>
      </c>
      <c r="R5" s="76">
        <f t="shared" si="6"/>
        <v>0</v>
      </c>
      <c r="S5" s="76">
        <v>0</v>
      </c>
      <c r="T5" s="95">
        <f t="shared" si="7"/>
        <v>0</v>
      </c>
      <c r="U5" s="78">
        <f t="shared" si="8"/>
        <v>0</v>
      </c>
      <c r="V5" s="102" t="str">
        <f t="shared" si="9"/>
        <v>-</v>
      </c>
      <c r="W5" s="77"/>
      <c r="X5" s="95">
        <f t="shared" si="10"/>
        <v>0</v>
      </c>
      <c r="Y5" s="95">
        <f t="shared" si="11"/>
        <v>0</v>
      </c>
      <c r="Z5" s="102" t="str">
        <f t="shared" si="12"/>
        <v>-</v>
      </c>
    </row>
    <row r="6" spans="1:26" ht="12.75" customHeight="1" thickBot="1" x14ac:dyDescent="0.25">
      <c r="A6" s="61" t="s">
        <v>165</v>
      </c>
      <c r="B6" s="61" t="s">
        <v>10</v>
      </c>
      <c r="C6" s="61" t="s">
        <v>10</v>
      </c>
      <c r="D6" s="62" t="s">
        <v>132</v>
      </c>
      <c r="E6" s="62">
        <v>0</v>
      </c>
      <c r="F6" s="97">
        <v>270</v>
      </c>
      <c r="G6" s="63" t="s">
        <v>27</v>
      </c>
      <c r="H6" s="97">
        <v>0</v>
      </c>
      <c r="I6" s="97">
        <f t="shared" si="0"/>
        <v>0</v>
      </c>
      <c r="J6" s="65">
        <v>1.5</v>
      </c>
      <c r="K6" s="66">
        <f t="shared" si="1"/>
        <v>0</v>
      </c>
      <c r="L6" s="94">
        <f t="shared" si="2"/>
        <v>118.10351997304987</v>
      </c>
      <c r="M6" s="94">
        <f t="shared" si="3"/>
        <v>0</v>
      </c>
      <c r="N6" s="62">
        <v>12</v>
      </c>
      <c r="O6" s="63">
        <f t="shared" si="4"/>
        <v>0</v>
      </c>
      <c r="P6" s="64">
        <f t="shared" si="5"/>
        <v>0</v>
      </c>
      <c r="Q6" s="65">
        <v>1000</v>
      </c>
      <c r="R6" s="67">
        <f t="shared" si="6"/>
        <v>0</v>
      </c>
      <c r="S6" s="67">
        <v>0</v>
      </c>
      <c r="T6" s="94">
        <f t="shared" si="7"/>
        <v>0</v>
      </c>
      <c r="U6" s="69">
        <f t="shared" si="8"/>
        <v>0</v>
      </c>
      <c r="V6" s="101" t="str">
        <f t="shared" si="9"/>
        <v>-</v>
      </c>
      <c r="W6" s="68"/>
      <c r="X6" s="94">
        <f t="shared" si="10"/>
        <v>0</v>
      </c>
      <c r="Y6" s="94">
        <f t="shared" si="11"/>
        <v>0</v>
      </c>
      <c r="Z6" s="101" t="str">
        <f t="shared" si="12"/>
        <v>-</v>
      </c>
    </row>
    <row r="7" spans="1:26" ht="13.5" thickBot="1" x14ac:dyDescent="0.25">
      <c r="A7" s="70" t="s">
        <v>220</v>
      </c>
      <c r="B7" s="70" t="s">
        <v>7</v>
      </c>
      <c r="C7" s="70" t="s">
        <v>12</v>
      </c>
      <c r="D7" s="71" t="s">
        <v>18</v>
      </c>
      <c r="E7" s="71">
        <v>0</v>
      </c>
      <c r="F7" s="98">
        <v>90</v>
      </c>
      <c r="G7" s="72" t="s">
        <v>27</v>
      </c>
      <c r="H7" s="98">
        <v>0</v>
      </c>
      <c r="I7" s="98">
        <f t="shared" si="0"/>
        <v>0</v>
      </c>
      <c r="J7" s="74">
        <v>200</v>
      </c>
      <c r="K7" s="75">
        <f t="shared" si="1"/>
        <v>0</v>
      </c>
      <c r="L7" s="95">
        <f t="shared" si="2"/>
        <v>33.852662333435376</v>
      </c>
      <c r="M7" s="95">
        <f t="shared" si="3"/>
        <v>0</v>
      </c>
      <c r="N7" s="71">
        <v>10</v>
      </c>
      <c r="O7" s="72">
        <f t="shared" si="4"/>
        <v>0</v>
      </c>
      <c r="P7" s="73">
        <f t="shared" si="5"/>
        <v>0</v>
      </c>
      <c r="Q7" s="74">
        <v>180</v>
      </c>
      <c r="R7" s="76">
        <f t="shared" si="6"/>
        <v>0</v>
      </c>
      <c r="S7" s="76">
        <v>0</v>
      </c>
      <c r="T7" s="95">
        <f t="shared" si="7"/>
        <v>0</v>
      </c>
      <c r="U7" s="78">
        <f t="shared" si="8"/>
        <v>0</v>
      </c>
      <c r="V7" s="102" t="str">
        <f t="shared" si="9"/>
        <v>-</v>
      </c>
      <c r="W7" s="77"/>
      <c r="X7" s="95">
        <f t="shared" si="10"/>
        <v>0</v>
      </c>
      <c r="Y7" s="95">
        <f t="shared" si="11"/>
        <v>0</v>
      </c>
      <c r="Z7" s="102" t="str">
        <f t="shared" si="12"/>
        <v>-</v>
      </c>
    </row>
    <row r="8" spans="1:26" ht="13.5" thickBot="1" x14ac:dyDescent="0.25">
      <c r="A8" s="61" t="s">
        <v>166</v>
      </c>
      <c r="B8" s="61" t="s">
        <v>114</v>
      </c>
      <c r="C8" s="61" t="s">
        <v>11</v>
      </c>
      <c r="D8" s="62" t="s">
        <v>63</v>
      </c>
      <c r="E8" s="62">
        <v>0</v>
      </c>
      <c r="F8" s="97">
        <v>368</v>
      </c>
      <c r="G8" s="63" t="s">
        <v>64</v>
      </c>
      <c r="H8" s="97">
        <v>0</v>
      </c>
      <c r="I8" s="97">
        <f t="shared" si="0"/>
        <v>0</v>
      </c>
      <c r="J8" s="65">
        <v>900</v>
      </c>
      <c r="K8" s="66">
        <f t="shared" si="1"/>
        <v>0</v>
      </c>
      <c r="L8" s="94">
        <f t="shared" si="2"/>
        <v>160.97072351882352</v>
      </c>
      <c r="M8" s="94">
        <f t="shared" si="3"/>
        <v>0</v>
      </c>
      <c r="N8" s="62">
        <v>12</v>
      </c>
      <c r="O8" s="63">
        <f t="shared" si="4"/>
        <v>0</v>
      </c>
      <c r="P8" s="64">
        <f t="shared" si="5"/>
        <v>0</v>
      </c>
      <c r="Q8" s="65">
        <v>800</v>
      </c>
      <c r="R8" s="67">
        <f t="shared" si="6"/>
        <v>0</v>
      </c>
      <c r="S8" s="67">
        <v>0</v>
      </c>
      <c r="T8" s="94">
        <f t="shared" si="7"/>
        <v>0</v>
      </c>
      <c r="U8" s="69">
        <f t="shared" si="8"/>
        <v>0</v>
      </c>
      <c r="V8" s="101" t="str">
        <f t="shared" si="9"/>
        <v>-</v>
      </c>
      <c r="W8" s="68"/>
      <c r="X8" s="94">
        <f t="shared" si="10"/>
        <v>0</v>
      </c>
      <c r="Y8" s="94">
        <f t="shared" si="11"/>
        <v>0</v>
      </c>
      <c r="Z8" s="101" t="str">
        <f t="shared" si="12"/>
        <v>-</v>
      </c>
    </row>
    <row r="9" spans="1:26" ht="13.5" thickBot="1" x14ac:dyDescent="0.25">
      <c r="A9" s="70" t="s">
        <v>167</v>
      </c>
      <c r="B9" s="70" t="s">
        <v>115</v>
      </c>
      <c r="C9" s="70" t="s">
        <v>11</v>
      </c>
      <c r="D9" s="71" t="s">
        <v>63</v>
      </c>
      <c r="E9" s="71">
        <v>0</v>
      </c>
      <c r="F9" s="98">
        <v>219</v>
      </c>
      <c r="G9" s="72" t="s">
        <v>64</v>
      </c>
      <c r="H9" s="98">
        <v>0</v>
      </c>
      <c r="I9" s="98">
        <f t="shared" si="0"/>
        <v>0</v>
      </c>
      <c r="J9" s="74">
        <v>900</v>
      </c>
      <c r="K9" s="75">
        <f t="shared" si="1"/>
        <v>0</v>
      </c>
      <c r="L9" s="95">
        <f t="shared" si="2"/>
        <v>95.795077311473776</v>
      </c>
      <c r="M9" s="95">
        <f t="shared" si="3"/>
        <v>0</v>
      </c>
      <c r="N9" s="71">
        <v>12</v>
      </c>
      <c r="O9" s="72">
        <f t="shared" si="4"/>
        <v>0</v>
      </c>
      <c r="P9" s="73">
        <f t="shared" si="5"/>
        <v>0</v>
      </c>
      <c r="Q9" s="74">
        <v>800</v>
      </c>
      <c r="R9" s="76">
        <f t="shared" si="6"/>
        <v>0</v>
      </c>
      <c r="S9" s="76">
        <v>0</v>
      </c>
      <c r="T9" s="95">
        <f t="shared" si="7"/>
        <v>0</v>
      </c>
      <c r="U9" s="78">
        <f t="shared" si="8"/>
        <v>0</v>
      </c>
      <c r="V9" s="102" t="str">
        <f t="shared" si="9"/>
        <v>-</v>
      </c>
      <c r="W9" s="77"/>
      <c r="X9" s="95">
        <f t="shared" si="10"/>
        <v>0</v>
      </c>
      <c r="Y9" s="95">
        <f t="shared" si="11"/>
        <v>0</v>
      </c>
      <c r="Z9" s="102" t="str">
        <f t="shared" si="12"/>
        <v>-</v>
      </c>
    </row>
    <row r="10" spans="1:26" ht="13.5" thickBot="1" x14ac:dyDescent="0.25">
      <c r="A10" s="61" t="s">
        <v>168</v>
      </c>
      <c r="B10" s="61" t="s">
        <v>62</v>
      </c>
      <c r="C10" s="61" t="s">
        <v>11</v>
      </c>
      <c r="D10" s="62" t="s">
        <v>63</v>
      </c>
      <c r="E10" s="62">
        <v>4</v>
      </c>
      <c r="F10" s="97">
        <v>649</v>
      </c>
      <c r="G10" s="63" t="s">
        <v>64</v>
      </c>
      <c r="H10" s="97">
        <v>6</v>
      </c>
      <c r="I10" s="97">
        <f t="shared" si="0"/>
        <v>3894</v>
      </c>
      <c r="J10" s="65">
        <v>900</v>
      </c>
      <c r="K10" s="66">
        <f t="shared" si="1"/>
        <v>5400</v>
      </c>
      <c r="L10" s="94">
        <f t="shared" si="2"/>
        <v>283.88586837966432</v>
      </c>
      <c r="M10" s="94">
        <f t="shared" si="3"/>
        <v>3696.6847897220141</v>
      </c>
      <c r="N10" s="62">
        <v>12</v>
      </c>
      <c r="O10" s="63">
        <f t="shared" si="4"/>
        <v>37851.449117288568</v>
      </c>
      <c r="P10" s="64">
        <f t="shared" si="5"/>
        <v>14674.273370475574</v>
      </c>
      <c r="Q10" s="65">
        <v>800</v>
      </c>
      <c r="R10" s="67">
        <f t="shared" si="6"/>
        <v>4800</v>
      </c>
      <c r="S10" s="67">
        <v>0</v>
      </c>
      <c r="T10" s="94">
        <f t="shared" si="7"/>
        <v>0.12681152536925225</v>
      </c>
      <c r="U10" s="69">
        <f t="shared" si="8"/>
        <v>0.51449214824329514</v>
      </c>
      <c r="V10" s="101">
        <f t="shared" si="9"/>
        <v>2.3787376238053173</v>
      </c>
      <c r="W10" s="68"/>
      <c r="X10" s="94">
        <f t="shared" si="10"/>
        <v>9.7662966040408777E-2</v>
      </c>
      <c r="Y10" s="94">
        <f t="shared" si="11"/>
        <v>0.48534358891445167</v>
      </c>
      <c r="Z10" s="101">
        <f t="shared" si="12"/>
        <v>2.2923625806393182</v>
      </c>
    </row>
    <row r="11" spans="1:26" ht="13.5" thickBot="1" x14ac:dyDescent="0.25">
      <c r="A11" s="70" t="s">
        <v>169</v>
      </c>
      <c r="B11" s="70" t="s">
        <v>116</v>
      </c>
      <c r="C11" s="70" t="s">
        <v>11</v>
      </c>
      <c r="D11" s="71" t="s">
        <v>63</v>
      </c>
      <c r="E11" s="71">
        <v>0</v>
      </c>
      <c r="F11" s="98">
        <v>141</v>
      </c>
      <c r="G11" s="72" t="s">
        <v>64</v>
      </c>
      <c r="H11" s="98">
        <v>0</v>
      </c>
      <c r="I11" s="98">
        <f t="shared" si="0"/>
        <v>0</v>
      </c>
      <c r="J11" s="74">
        <v>900</v>
      </c>
      <c r="K11" s="75">
        <f t="shared" si="1"/>
        <v>0</v>
      </c>
      <c r="L11" s="95">
        <f t="shared" si="2"/>
        <v>61.676282652592704</v>
      </c>
      <c r="M11" s="95">
        <f t="shared" si="3"/>
        <v>0</v>
      </c>
      <c r="N11" s="71">
        <v>12</v>
      </c>
      <c r="O11" s="72">
        <f t="shared" si="4"/>
        <v>0</v>
      </c>
      <c r="P11" s="73">
        <f t="shared" si="5"/>
        <v>0</v>
      </c>
      <c r="Q11" s="74">
        <v>800</v>
      </c>
      <c r="R11" s="76">
        <f t="shared" si="6"/>
        <v>0</v>
      </c>
      <c r="S11" s="76">
        <v>0</v>
      </c>
      <c r="T11" s="95">
        <f t="shared" si="7"/>
        <v>0</v>
      </c>
      <c r="U11" s="78">
        <f t="shared" si="8"/>
        <v>0</v>
      </c>
      <c r="V11" s="102" t="str">
        <f t="shared" si="9"/>
        <v>-</v>
      </c>
      <c r="W11" s="77"/>
      <c r="X11" s="95">
        <f t="shared" si="10"/>
        <v>0</v>
      </c>
      <c r="Y11" s="95">
        <f t="shared" si="11"/>
        <v>0</v>
      </c>
      <c r="Z11" s="102" t="str">
        <f t="shared" si="12"/>
        <v>-</v>
      </c>
    </row>
    <row r="12" spans="1:26" ht="13.5" thickBot="1" x14ac:dyDescent="0.25">
      <c r="A12" s="61" t="s">
        <v>170</v>
      </c>
      <c r="B12" s="61" t="s">
        <v>60</v>
      </c>
      <c r="C12" s="61" t="s">
        <v>37</v>
      </c>
      <c r="D12" s="62" t="s">
        <v>39</v>
      </c>
      <c r="E12" s="62">
        <v>8</v>
      </c>
      <c r="F12" s="97">
        <v>13</v>
      </c>
      <c r="G12" s="63" t="s">
        <v>61</v>
      </c>
      <c r="H12" s="97">
        <v>55</v>
      </c>
      <c r="I12" s="97">
        <f t="shared" si="0"/>
        <v>715</v>
      </c>
      <c r="J12" s="65">
        <v>55</v>
      </c>
      <c r="K12" s="66">
        <f t="shared" si="1"/>
        <v>3025</v>
      </c>
      <c r="L12" s="94">
        <f t="shared" si="2"/>
        <v>4.8898290037184431</v>
      </c>
      <c r="M12" s="94">
        <f t="shared" si="3"/>
        <v>2756.0594047954855</v>
      </c>
      <c r="N12" s="62">
        <v>10</v>
      </c>
      <c r="O12" s="63">
        <f t="shared" si="4"/>
        <v>5976.4576712114294</v>
      </c>
      <c r="P12" s="64">
        <f t="shared" si="5"/>
        <v>2694.4287262172666</v>
      </c>
      <c r="Q12" s="65">
        <v>20</v>
      </c>
      <c r="R12" s="67">
        <f t="shared" si="6"/>
        <v>1100</v>
      </c>
      <c r="S12" s="67">
        <v>0</v>
      </c>
      <c r="T12" s="94">
        <f t="shared" si="7"/>
        <v>0.18405551591182437</v>
      </c>
      <c r="U12" s="69">
        <f t="shared" si="8"/>
        <v>0.63489594254051407</v>
      </c>
      <c r="V12" s="101">
        <f t="shared" si="9"/>
        <v>1.8407833845622936</v>
      </c>
      <c r="W12" s="68"/>
      <c r="X12" s="94">
        <f t="shared" si="10"/>
        <v>0.46115266875751698</v>
      </c>
      <c r="Y12" s="94">
        <f t="shared" si="11"/>
        <v>0.91199309538620676</v>
      </c>
      <c r="Z12" s="101">
        <f t="shared" si="12"/>
        <v>1.1649867923812383</v>
      </c>
    </row>
    <row r="13" spans="1:26" ht="13.5" thickBot="1" x14ac:dyDescent="0.25">
      <c r="A13" s="70" t="s">
        <v>171</v>
      </c>
      <c r="B13" s="70" t="s">
        <v>117</v>
      </c>
      <c r="C13" s="70" t="s">
        <v>133</v>
      </c>
      <c r="D13" s="71" t="s">
        <v>134</v>
      </c>
      <c r="E13" s="71">
        <v>0</v>
      </c>
      <c r="F13" s="98">
        <v>72</v>
      </c>
      <c r="G13" s="72" t="s">
        <v>146</v>
      </c>
      <c r="H13" s="98">
        <v>0</v>
      </c>
      <c r="I13" s="98">
        <f t="shared" si="0"/>
        <v>0</v>
      </c>
      <c r="J13" s="74">
        <v>300</v>
      </c>
      <c r="K13" s="75">
        <f t="shared" si="1"/>
        <v>0</v>
      </c>
      <c r="L13" s="95">
        <f t="shared" si="2"/>
        <v>37.583195771281218</v>
      </c>
      <c r="M13" s="95">
        <f t="shared" si="3"/>
        <v>0</v>
      </c>
      <c r="N13" s="71">
        <v>15</v>
      </c>
      <c r="O13" s="72">
        <f t="shared" si="4"/>
        <v>0</v>
      </c>
      <c r="P13" s="73">
        <f t="shared" si="5"/>
        <v>0</v>
      </c>
      <c r="Q13" s="74">
        <v>100</v>
      </c>
      <c r="R13" s="76">
        <f t="shared" si="6"/>
        <v>0</v>
      </c>
      <c r="S13" s="76">
        <v>0</v>
      </c>
      <c r="T13" s="95">
        <f t="shared" si="7"/>
        <v>0</v>
      </c>
      <c r="U13" s="78">
        <f t="shared" si="8"/>
        <v>0</v>
      </c>
      <c r="V13" s="102" t="str">
        <f t="shared" si="9"/>
        <v>-</v>
      </c>
      <c r="W13" s="77"/>
      <c r="X13" s="95">
        <f t="shared" si="10"/>
        <v>0</v>
      </c>
      <c r="Y13" s="95">
        <f t="shared" si="11"/>
        <v>0</v>
      </c>
      <c r="Z13" s="102" t="str">
        <f t="shared" si="12"/>
        <v>-</v>
      </c>
    </row>
    <row r="14" spans="1:26" ht="13.5" thickBot="1" x14ac:dyDescent="0.25">
      <c r="A14" s="61" t="s">
        <v>221</v>
      </c>
      <c r="B14" s="61" t="s">
        <v>117</v>
      </c>
      <c r="C14" s="61" t="s">
        <v>133</v>
      </c>
      <c r="D14" s="62" t="s">
        <v>134</v>
      </c>
      <c r="E14" s="62">
        <v>0</v>
      </c>
      <c r="F14" s="97">
        <v>72</v>
      </c>
      <c r="G14" s="63" t="s">
        <v>146</v>
      </c>
      <c r="H14" s="97">
        <v>0</v>
      </c>
      <c r="I14" s="97">
        <f t="shared" si="0"/>
        <v>0</v>
      </c>
      <c r="J14" s="65">
        <v>300</v>
      </c>
      <c r="K14" s="66">
        <f t="shared" si="1"/>
        <v>0</v>
      </c>
      <c r="L14" s="94">
        <f t="shared" si="2"/>
        <v>37.583195771281218</v>
      </c>
      <c r="M14" s="94">
        <f t="shared" si="3"/>
        <v>0</v>
      </c>
      <c r="N14" s="62">
        <v>15</v>
      </c>
      <c r="O14" s="63">
        <f t="shared" si="4"/>
        <v>0</v>
      </c>
      <c r="P14" s="64">
        <f t="shared" si="5"/>
        <v>0</v>
      </c>
      <c r="Q14" s="65">
        <v>200</v>
      </c>
      <c r="R14" s="67">
        <f t="shared" si="6"/>
        <v>0</v>
      </c>
      <c r="S14" s="67">
        <v>0</v>
      </c>
      <c r="T14" s="94">
        <f t="shared" si="7"/>
        <v>0</v>
      </c>
      <c r="U14" s="69">
        <f t="shared" si="8"/>
        <v>0</v>
      </c>
      <c r="V14" s="101" t="str">
        <f t="shared" si="9"/>
        <v>-</v>
      </c>
      <c r="W14" s="68"/>
      <c r="X14" s="94">
        <f t="shared" si="10"/>
        <v>0</v>
      </c>
      <c r="Y14" s="94">
        <f t="shared" si="11"/>
        <v>0</v>
      </c>
      <c r="Z14" s="101" t="str">
        <f t="shared" si="12"/>
        <v>-</v>
      </c>
    </row>
    <row r="15" spans="1:26" ht="13.5" thickBot="1" x14ac:dyDescent="0.25">
      <c r="A15" s="70" t="s">
        <v>172</v>
      </c>
      <c r="B15" s="70" t="s">
        <v>79</v>
      </c>
      <c r="C15" s="70" t="s">
        <v>9</v>
      </c>
      <c r="D15" s="71" t="s">
        <v>17</v>
      </c>
      <c r="E15" s="71">
        <v>31</v>
      </c>
      <c r="F15" s="98">
        <v>0.79</v>
      </c>
      <c r="G15" s="72" t="s">
        <v>80</v>
      </c>
      <c r="H15" s="98">
        <v>8218.7999999999993</v>
      </c>
      <c r="I15" s="98">
        <f t="shared" si="0"/>
        <v>6492.8519999999999</v>
      </c>
      <c r="J15" s="74">
        <v>6.06</v>
      </c>
      <c r="K15" s="75">
        <f t="shared" si="1"/>
        <v>49805.927999999993</v>
      </c>
      <c r="L15" s="95">
        <f t="shared" si="2"/>
        <v>0.41237117582378013</v>
      </c>
      <c r="M15" s="95">
        <f t="shared" si="3"/>
        <v>46416.731780139511</v>
      </c>
      <c r="N15" s="71">
        <v>15</v>
      </c>
      <c r="O15" s="72">
        <f t="shared" si="4"/>
        <v>75315.471552455187</v>
      </c>
      <c r="P15" s="73">
        <f t="shared" si="5"/>
        <v>24467.869851576546</v>
      </c>
      <c r="Q15" s="74">
        <v>2.5</v>
      </c>
      <c r="R15" s="76">
        <f t="shared" si="6"/>
        <v>20547</v>
      </c>
      <c r="S15" s="76">
        <v>0</v>
      </c>
      <c r="T15" s="95">
        <f t="shared" si="7"/>
        <v>0.27281247234427219</v>
      </c>
      <c r="U15" s="78">
        <f t="shared" si="8"/>
        <v>0.59768423304931317</v>
      </c>
      <c r="V15" s="102">
        <f t="shared" si="9"/>
        <v>2.1944268650151377</v>
      </c>
      <c r="W15" s="77"/>
      <c r="X15" s="95">
        <f t="shared" si="10"/>
        <v>0.61629743296251571</v>
      </c>
      <c r="Y15" s="95">
        <f t="shared" si="11"/>
        <v>0.94116919366755669</v>
      </c>
      <c r="Z15" s="102">
        <f t="shared" si="12"/>
        <v>1.2668713713886277</v>
      </c>
    </row>
    <row r="16" spans="1:26" ht="13.5" thickBot="1" x14ac:dyDescent="0.25">
      <c r="A16" s="61" t="s">
        <v>173</v>
      </c>
      <c r="B16" s="61" t="s">
        <v>29</v>
      </c>
      <c r="C16" s="61" t="s">
        <v>67</v>
      </c>
      <c r="D16" s="62" t="s">
        <v>68</v>
      </c>
      <c r="E16" s="62">
        <v>1</v>
      </c>
      <c r="F16" s="97">
        <v>1806</v>
      </c>
      <c r="G16" s="63" t="s">
        <v>27</v>
      </c>
      <c r="H16" s="97">
        <v>1</v>
      </c>
      <c r="I16" s="97">
        <f t="shared" si="0"/>
        <v>1806</v>
      </c>
      <c r="J16" s="65">
        <v>6200</v>
      </c>
      <c r="K16" s="66">
        <f t="shared" si="1"/>
        <v>6200</v>
      </c>
      <c r="L16" s="94">
        <f t="shared" si="2"/>
        <v>789.98132248640024</v>
      </c>
      <c r="M16" s="94">
        <f t="shared" si="3"/>
        <v>5410.0186775135999</v>
      </c>
      <c r="N16" s="62">
        <v>12</v>
      </c>
      <c r="O16" s="63">
        <f t="shared" si="4"/>
        <v>17555.14049969778</v>
      </c>
      <c r="P16" s="64">
        <f t="shared" si="5"/>
        <v>6805.7878035641725</v>
      </c>
      <c r="Q16" s="65">
        <v>2500</v>
      </c>
      <c r="R16" s="67">
        <f t="shared" si="6"/>
        <v>2500</v>
      </c>
      <c r="S16" s="67">
        <v>0</v>
      </c>
      <c r="T16" s="94">
        <f t="shared" si="7"/>
        <v>0.14240843017138136</v>
      </c>
      <c r="U16" s="69">
        <f t="shared" si="8"/>
        <v>0.53008905304542431</v>
      </c>
      <c r="V16" s="101">
        <f t="shared" si="9"/>
        <v>2.3087476022144449</v>
      </c>
      <c r="W16" s="68"/>
      <c r="X16" s="94">
        <f t="shared" si="10"/>
        <v>0.30817290682502574</v>
      </c>
      <c r="Y16" s="94">
        <f t="shared" si="11"/>
        <v>0.69585352969906866</v>
      </c>
      <c r="Z16" s="101">
        <f t="shared" si="12"/>
        <v>1.5988759623908679</v>
      </c>
    </row>
    <row r="17" spans="1:26" ht="13.5" thickBot="1" x14ac:dyDescent="0.25">
      <c r="A17" s="70" t="s">
        <v>174</v>
      </c>
      <c r="B17" s="70" t="s">
        <v>50</v>
      </c>
      <c r="C17" s="70" t="s">
        <v>51</v>
      </c>
      <c r="D17" s="71" t="s">
        <v>52</v>
      </c>
      <c r="E17" s="71">
        <v>1</v>
      </c>
      <c r="F17" s="98">
        <v>89</v>
      </c>
      <c r="G17" s="72" t="s">
        <v>53</v>
      </c>
      <c r="H17" s="98">
        <v>2</v>
      </c>
      <c r="I17" s="98">
        <f t="shared" si="0"/>
        <v>178</v>
      </c>
      <c r="J17" s="74">
        <v>119</v>
      </c>
      <c r="K17" s="75">
        <f t="shared" si="1"/>
        <v>238</v>
      </c>
      <c r="L17" s="95">
        <f>PV($B$74,$N17,(-0.05*0.9*$F17))+PV($B$74,$N17,-3500/1000*10)</f>
        <v>176.60949297439205</v>
      </c>
      <c r="M17" s="95">
        <f t="shared" si="3"/>
        <v>0</v>
      </c>
      <c r="N17" s="71">
        <v>5</v>
      </c>
      <c r="O17" s="72">
        <f t="shared" si="4"/>
        <v>805.96051145857666</v>
      </c>
      <c r="P17" s="73">
        <f t="shared" si="5"/>
        <v>670.78085771562723</v>
      </c>
      <c r="Q17" s="74">
        <v>0</v>
      </c>
      <c r="R17" s="76">
        <f t="shared" si="6"/>
        <v>0</v>
      </c>
      <c r="S17" s="76">
        <v>0</v>
      </c>
      <c r="T17" s="95">
        <f t="shared" si="7"/>
        <v>0</v>
      </c>
      <c r="U17" s="78">
        <f t="shared" si="8"/>
        <v>0.83227509062657457</v>
      </c>
      <c r="V17" s="102" t="str">
        <f t="shared" si="9"/>
        <v>-</v>
      </c>
      <c r="W17" s="77"/>
      <c r="X17" s="95">
        <f t="shared" si="10"/>
        <v>0</v>
      </c>
      <c r="Y17" s="95">
        <f t="shared" si="11"/>
        <v>0.83227509062657457</v>
      </c>
      <c r="Z17" s="102" t="str">
        <f t="shared" si="12"/>
        <v>-</v>
      </c>
    </row>
    <row r="18" spans="1:26" ht="13.5" thickBot="1" x14ac:dyDescent="0.25">
      <c r="A18" s="61" t="s">
        <v>175</v>
      </c>
      <c r="B18" s="61" t="s">
        <v>149</v>
      </c>
      <c r="C18" s="61" t="s">
        <v>51</v>
      </c>
      <c r="D18" s="62" t="s">
        <v>52</v>
      </c>
      <c r="E18" s="62">
        <v>0</v>
      </c>
      <c r="F18" s="97">
        <v>30</v>
      </c>
      <c r="G18" s="63" t="s">
        <v>53</v>
      </c>
      <c r="H18" s="97">
        <v>0</v>
      </c>
      <c r="I18" s="97">
        <f t="shared" si="0"/>
        <v>0</v>
      </c>
      <c r="J18" s="65">
        <v>119</v>
      </c>
      <c r="K18" s="66">
        <f t="shared" si="1"/>
        <v>0</v>
      </c>
      <c r="L18" s="94">
        <f>PV($B$74,$N18,(-0.05*0.9*$F18))+PV($B$74,$N18,-1180/1000*10)</f>
        <v>59.541464751012818</v>
      </c>
      <c r="M18" s="94">
        <f t="shared" si="3"/>
        <v>0</v>
      </c>
      <c r="N18" s="62">
        <v>5</v>
      </c>
      <c r="O18" s="63">
        <f t="shared" si="4"/>
        <v>0</v>
      </c>
      <c r="P18" s="64">
        <f t="shared" si="5"/>
        <v>0</v>
      </c>
      <c r="Q18" s="65">
        <v>0</v>
      </c>
      <c r="R18" s="67">
        <f t="shared" si="6"/>
        <v>0</v>
      </c>
      <c r="S18" s="67">
        <v>0</v>
      </c>
      <c r="T18" s="94">
        <f t="shared" si="7"/>
        <v>0</v>
      </c>
      <c r="U18" s="69">
        <f t="shared" si="8"/>
        <v>0</v>
      </c>
      <c r="V18" s="101" t="str">
        <f t="shared" si="9"/>
        <v>-</v>
      </c>
      <c r="W18" s="68"/>
      <c r="X18" s="94">
        <f t="shared" si="10"/>
        <v>0</v>
      </c>
      <c r="Y18" s="94">
        <f t="shared" si="11"/>
        <v>0</v>
      </c>
      <c r="Z18" s="101" t="str">
        <f t="shared" si="12"/>
        <v>-</v>
      </c>
    </row>
    <row r="19" spans="1:26" ht="13.5" thickBot="1" x14ac:dyDescent="0.25">
      <c r="A19" s="70" t="s">
        <v>176</v>
      </c>
      <c r="B19" s="70" t="s">
        <v>150</v>
      </c>
      <c r="C19" s="70" t="s">
        <v>51</v>
      </c>
      <c r="D19" s="71" t="s">
        <v>52</v>
      </c>
      <c r="E19" s="71">
        <v>0</v>
      </c>
      <c r="F19" s="98">
        <v>59</v>
      </c>
      <c r="G19" s="72" t="s">
        <v>53</v>
      </c>
      <c r="H19" s="98">
        <v>0</v>
      </c>
      <c r="I19" s="98">
        <f t="shared" si="0"/>
        <v>0</v>
      </c>
      <c r="J19" s="74">
        <v>119</v>
      </c>
      <c r="K19" s="75">
        <f t="shared" si="1"/>
        <v>0</v>
      </c>
      <c r="L19" s="95">
        <f>PV($B$74,$N19,(-0.05*0.9*$F19))+PV($B$74,$N19,-2300/1000*10)</f>
        <v>116.16245461499879</v>
      </c>
      <c r="M19" s="95">
        <f t="shared" si="3"/>
        <v>0</v>
      </c>
      <c r="N19" s="71">
        <v>5</v>
      </c>
      <c r="O19" s="72">
        <f t="shared" si="4"/>
        <v>0</v>
      </c>
      <c r="P19" s="73">
        <f t="shared" si="5"/>
        <v>0</v>
      </c>
      <c r="Q19" s="74">
        <v>0</v>
      </c>
      <c r="R19" s="76">
        <f t="shared" si="6"/>
        <v>0</v>
      </c>
      <c r="S19" s="76">
        <v>0</v>
      </c>
      <c r="T19" s="95">
        <f t="shared" si="7"/>
        <v>0</v>
      </c>
      <c r="U19" s="78">
        <f t="shared" si="8"/>
        <v>0</v>
      </c>
      <c r="V19" s="102" t="str">
        <f t="shared" si="9"/>
        <v>-</v>
      </c>
      <c r="W19" s="77"/>
      <c r="X19" s="95">
        <f t="shared" si="10"/>
        <v>0</v>
      </c>
      <c r="Y19" s="95">
        <f t="shared" si="11"/>
        <v>0</v>
      </c>
      <c r="Z19" s="102" t="str">
        <f t="shared" si="12"/>
        <v>-</v>
      </c>
    </row>
    <row r="20" spans="1:26" ht="13.5" thickBot="1" x14ac:dyDescent="0.25">
      <c r="A20" s="61" t="s">
        <v>220</v>
      </c>
      <c r="B20" s="61" t="s">
        <v>57</v>
      </c>
      <c r="C20" s="61" t="s">
        <v>58</v>
      </c>
      <c r="D20" s="62" t="s">
        <v>59</v>
      </c>
      <c r="E20" s="62">
        <v>0</v>
      </c>
      <c r="F20" s="97">
        <v>35</v>
      </c>
      <c r="G20" s="63" t="s">
        <v>53</v>
      </c>
      <c r="H20" s="97">
        <v>0</v>
      </c>
      <c r="I20" s="97">
        <f t="shared" si="0"/>
        <v>0</v>
      </c>
      <c r="J20" s="65">
        <v>44</v>
      </c>
      <c r="K20" s="66">
        <f t="shared" si="1"/>
        <v>0</v>
      </c>
      <c r="L20" s="94">
        <f>PV($B$74,$N20,(-0.05*0.9*$F20))+PV($B$74,$N20,-900/1000*10)</f>
        <v>88.393062759525691</v>
      </c>
      <c r="M20" s="94">
        <f t="shared" si="3"/>
        <v>0</v>
      </c>
      <c r="N20" s="62">
        <v>10</v>
      </c>
      <c r="O20" s="63">
        <f t="shared" si="4"/>
        <v>0</v>
      </c>
      <c r="P20" s="64">
        <f t="shared" si="5"/>
        <v>0</v>
      </c>
      <c r="Q20" s="65">
        <v>0</v>
      </c>
      <c r="R20" s="67">
        <f t="shared" si="6"/>
        <v>0</v>
      </c>
      <c r="S20" s="67">
        <v>0</v>
      </c>
      <c r="T20" s="94">
        <f t="shared" si="7"/>
        <v>0</v>
      </c>
      <c r="U20" s="69">
        <f t="shared" si="8"/>
        <v>0</v>
      </c>
      <c r="V20" s="101" t="str">
        <f t="shared" si="9"/>
        <v>-</v>
      </c>
      <c r="W20" s="68"/>
      <c r="X20" s="94">
        <f t="shared" si="10"/>
        <v>0</v>
      </c>
      <c r="Y20" s="94">
        <f t="shared" si="11"/>
        <v>0</v>
      </c>
      <c r="Z20" s="101" t="str">
        <f t="shared" si="12"/>
        <v>-</v>
      </c>
    </row>
    <row r="21" spans="1:26" ht="13.5" thickBot="1" x14ac:dyDescent="0.25">
      <c r="A21" s="70" t="s">
        <v>177</v>
      </c>
      <c r="B21" s="70" t="s">
        <v>118</v>
      </c>
      <c r="C21" s="70" t="s">
        <v>11</v>
      </c>
      <c r="D21" s="71" t="s">
        <v>76</v>
      </c>
      <c r="E21" s="71">
        <v>0</v>
      </c>
      <c r="F21" s="98">
        <v>388</v>
      </c>
      <c r="G21" s="72" t="s">
        <v>77</v>
      </c>
      <c r="H21" s="98">
        <v>0</v>
      </c>
      <c r="I21" s="98">
        <f t="shared" si="0"/>
        <v>0</v>
      </c>
      <c r="J21" s="74">
        <v>1400</v>
      </c>
      <c r="K21" s="75">
        <f t="shared" si="1"/>
        <v>0</v>
      </c>
      <c r="L21" s="95">
        <f t="shared" ref="L21:L40" si="13">PV($B$74,$N21,(-0.05*0.9*$F21))</f>
        <v>169.7191324057161</v>
      </c>
      <c r="M21" s="95">
        <f t="shared" si="3"/>
        <v>0</v>
      </c>
      <c r="N21" s="71">
        <v>12</v>
      </c>
      <c r="O21" s="72">
        <f t="shared" si="4"/>
        <v>0</v>
      </c>
      <c r="P21" s="73">
        <f t="shared" si="5"/>
        <v>0</v>
      </c>
      <c r="Q21" s="74">
        <v>750</v>
      </c>
      <c r="R21" s="76">
        <f t="shared" si="6"/>
        <v>0</v>
      </c>
      <c r="S21" s="76">
        <v>0</v>
      </c>
      <c r="T21" s="95">
        <f t="shared" si="7"/>
        <v>0</v>
      </c>
      <c r="U21" s="78">
        <f t="shared" si="8"/>
        <v>0</v>
      </c>
      <c r="V21" s="102" t="str">
        <f t="shared" si="9"/>
        <v>-</v>
      </c>
      <c r="W21" s="77"/>
      <c r="X21" s="95">
        <f t="shared" si="10"/>
        <v>0</v>
      </c>
      <c r="Y21" s="95">
        <f t="shared" si="11"/>
        <v>0</v>
      </c>
      <c r="Z21" s="102" t="str">
        <f t="shared" si="12"/>
        <v>-</v>
      </c>
    </row>
    <row r="22" spans="1:26" ht="13.5" thickBot="1" x14ac:dyDescent="0.25">
      <c r="A22" s="61" t="s">
        <v>178</v>
      </c>
      <c r="B22" s="61" t="s">
        <v>119</v>
      </c>
      <c r="C22" s="61" t="s">
        <v>11</v>
      </c>
      <c r="D22" s="62" t="s">
        <v>76</v>
      </c>
      <c r="E22" s="62">
        <v>0</v>
      </c>
      <c r="F22" s="97">
        <v>231</v>
      </c>
      <c r="G22" s="63" t="s">
        <v>77</v>
      </c>
      <c r="H22" s="97">
        <v>0</v>
      </c>
      <c r="I22" s="97">
        <f t="shared" si="0"/>
        <v>0</v>
      </c>
      <c r="J22" s="65">
        <v>1400</v>
      </c>
      <c r="K22" s="66">
        <f t="shared" si="1"/>
        <v>0</v>
      </c>
      <c r="L22" s="94">
        <f t="shared" si="13"/>
        <v>101.04412264360933</v>
      </c>
      <c r="M22" s="94">
        <f t="shared" si="3"/>
        <v>0</v>
      </c>
      <c r="N22" s="62">
        <v>12</v>
      </c>
      <c r="O22" s="63">
        <f t="shared" si="4"/>
        <v>0</v>
      </c>
      <c r="P22" s="64">
        <f t="shared" si="5"/>
        <v>0</v>
      </c>
      <c r="Q22" s="65">
        <v>750</v>
      </c>
      <c r="R22" s="67">
        <f t="shared" si="6"/>
        <v>0</v>
      </c>
      <c r="S22" s="67">
        <v>0</v>
      </c>
      <c r="T22" s="94">
        <f t="shared" si="7"/>
        <v>0</v>
      </c>
      <c r="U22" s="69">
        <f t="shared" si="8"/>
        <v>0</v>
      </c>
      <c r="V22" s="101" t="str">
        <f t="shared" si="9"/>
        <v>-</v>
      </c>
      <c r="W22" s="68"/>
      <c r="X22" s="94">
        <f t="shared" si="10"/>
        <v>0</v>
      </c>
      <c r="Y22" s="94">
        <f t="shared" si="11"/>
        <v>0</v>
      </c>
      <c r="Z22" s="101" t="str">
        <f t="shared" si="12"/>
        <v>-</v>
      </c>
    </row>
    <row r="23" spans="1:26" ht="13.5" thickBot="1" x14ac:dyDescent="0.25">
      <c r="A23" s="70" t="s">
        <v>179</v>
      </c>
      <c r="B23" s="70" t="s">
        <v>75</v>
      </c>
      <c r="C23" s="70" t="s">
        <v>11</v>
      </c>
      <c r="D23" s="71" t="s">
        <v>76</v>
      </c>
      <c r="E23" s="71">
        <v>30</v>
      </c>
      <c r="F23" s="98">
        <v>685</v>
      </c>
      <c r="G23" s="72" t="s">
        <v>77</v>
      </c>
      <c r="H23" s="98">
        <v>51</v>
      </c>
      <c r="I23" s="98">
        <f t="shared" si="0"/>
        <v>34935</v>
      </c>
      <c r="J23" s="74">
        <v>1400</v>
      </c>
      <c r="K23" s="75">
        <f t="shared" si="1"/>
        <v>71400</v>
      </c>
      <c r="L23" s="95">
        <f t="shared" si="13"/>
        <v>299.63300437607097</v>
      </c>
      <c r="M23" s="95">
        <f t="shared" si="3"/>
        <v>56118.716776820387</v>
      </c>
      <c r="N23" s="71">
        <v>12</v>
      </c>
      <c r="O23" s="72">
        <f t="shared" si="4"/>
        <v>339584.07162621367</v>
      </c>
      <c r="P23" s="73">
        <f t="shared" si="5"/>
        <v>131650.16440615413</v>
      </c>
      <c r="Q23" s="74">
        <v>750</v>
      </c>
      <c r="R23" s="76">
        <f t="shared" si="6"/>
        <v>38250</v>
      </c>
      <c r="S23" s="76">
        <v>0</v>
      </c>
      <c r="T23" s="95">
        <f t="shared" si="7"/>
        <v>0.11263779192241521</v>
      </c>
      <c r="U23" s="78">
        <f t="shared" si="8"/>
        <v>0.50031841479645811</v>
      </c>
      <c r="V23" s="102">
        <f t="shared" si="9"/>
        <v>2.4461258949995637</v>
      </c>
      <c r="W23" s="77"/>
      <c r="X23" s="95">
        <f t="shared" si="10"/>
        <v>0.1652572115885084</v>
      </c>
      <c r="Y23" s="95">
        <f t="shared" si="11"/>
        <v>0.5529378344625514</v>
      </c>
      <c r="Z23" s="102">
        <f t="shared" si="12"/>
        <v>2.0121312245925402</v>
      </c>
    </row>
    <row r="24" spans="1:26" ht="13.5" thickBot="1" x14ac:dyDescent="0.25">
      <c r="A24" s="61" t="s">
        <v>180</v>
      </c>
      <c r="B24" s="61" t="s">
        <v>120</v>
      </c>
      <c r="C24" s="61" t="s">
        <v>11</v>
      </c>
      <c r="D24" s="62" t="s">
        <v>76</v>
      </c>
      <c r="E24" s="62">
        <v>0</v>
      </c>
      <c r="F24" s="97">
        <v>149</v>
      </c>
      <c r="G24" s="63" t="s">
        <v>77</v>
      </c>
      <c r="H24" s="97">
        <v>0</v>
      </c>
      <c r="I24" s="97">
        <f t="shared" si="0"/>
        <v>0</v>
      </c>
      <c r="J24" s="65">
        <v>1400</v>
      </c>
      <c r="K24" s="66">
        <f t="shared" si="1"/>
        <v>0</v>
      </c>
      <c r="L24" s="94">
        <f t="shared" si="13"/>
        <v>65.175646207349743</v>
      </c>
      <c r="M24" s="94">
        <f t="shared" si="3"/>
        <v>0</v>
      </c>
      <c r="N24" s="62">
        <v>12</v>
      </c>
      <c r="O24" s="63">
        <f t="shared" si="4"/>
        <v>0</v>
      </c>
      <c r="P24" s="64">
        <f t="shared" si="5"/>
        <v>0</v>
      </c>
      <c r="Q24" s="65">
        <v>750</v>
      </c>
      <c r="R24" s="67">
        <f t="shared" si="6"/>
        <v>0</v>
      </c>
      <c r="S24" s="67">
        <v>0</v>
      </c>
      <c r="T24" s="94">
        <f t="shared" si="7"/>
        <v>0</v>
      </c>
      <c r="U24" s="69">
        <f t="shared" si="8"/>
        <v>0</v>
      </c>
      <c r="V24" s="101" t="str">
        <f t="shared" si="9"/>
        <v>-</v>
      </c>
      <c r="W24" s="68"/>
      <c r="X24" s="94">
        <f t="shared" si="10"/>
        <v>0</v>
      </c>
      <c r="Y24" s="94">
        <f t="shared" si="11"/>
        <v>0</v>
      </c>
      <c r="Z24" s="101" t="str">
        <f t="shared" si="12"/>
        <v>-</v>
      </c>
    </row>
    <row r="25" spans="1:26" ht="13.5" thickBot="1" x14ac:dyDescent="0.25">
      <c r="A25" s="70" t="s">
        <v>181</v>
      </c>
      <c r="B25" s="70" t="s">
        <v>38</v>
      </c>
      <c r="C25" s="70" t="s">
        <v>81</v>
      </c>
      <c r="D25" s="71" t="s">
        <v>82</v>
      </c>
      <c r="E25" s="71">
        <v>0</v>
      </c>
      <c r="F25" s="98">
        <v>77</v>
      </c>
      <c r="G25" s="72" t="s">
        <v>64</v>
      </c>
      <c r="H25" s="98">
        <v>0</v>
      </c>
      <c r="I25" s="98">
        <f t="shared" si="0"/>
        <v>0</v>
      </c>
      <c r="J25" s="74">
        <v>1800</v>
      </c>
      <c r="K25" s="75">
        <f t="shared" si="1"/>
        <v>0</v>
      </c>
      <c r="L25" s="95">
        <f t="shared" si="13"/>
        <v>42.222572458476435</v>
      </c>
      <c r="M25" s="95">
        <f t="shared" si="3"/>
        <v>0</v>
      </c>
      <c r="N25" s="71">
        <v>16</v>
      </c>
      <c r="O25" s="72">
        <f t="shared" si="4"/>
        <v>0</v>
      </c>
      <c r="P25" s="73">
        <f t="shared" si="5"/>
        <v>0</v>
      </c>
      <c r="Q25" s="74">
        <v>450</v>
      </c>
      <c r="R25" s="76">
        <f t="shared" si="6"/>
        <v>0</v>
      </c>
      <c r="S25" s="76">
        <v>0</v>
      </c>
      <c r="T25" s="95">
        <f t="shared" si="7"/>
        <v>0</v>
      </c>
      <c r="U25" s="78">
        <f t="shared" si="8"/>
        <v>0</v>
      </c>
      <c r="V25" s="102" t="str">
        <f t="shared" si="9"/>
        <v>-</v>
      </c>
      <c r="W25" s="77"/>
      <c r="X25" s="95">
        <f t="shared" si="10"/>
        <v>0</v>
      </c>
      <c r="Y25" s="95">
        <f t="shared" si="11"/>
        <v>0</v>
      </c>
      <c r="Z25" s="102" t="str">
        <f t="shared" si="12"/>
        <v>-</v>
      </c>
    </row>
    <row r="26" spans="1:26" ht="13.5" thickBot="1" x14ac:dyDescent="0.25">
      <c r="A26" s="61" t="s">
        <v>182</v>
      </c>
      <c r="B26" s="61" t="s">
        <v>121</v>
      </c>
      <c r="C26" s="61" t="s">
        <v>11</v>
      </c>
      <c r="D26" s="62" t="s">
        <v>73</v>
      </c>
      <c r="E26" s="62">
        <v>0</v>
      </c>
      <c r="F26" s="97">
        <v>155</v>
      </c>
      <c r="G26" s="63" t="s">
        <v>74</v>
      </c>
      <c r="H26" s="97">
        <v>0</v>
      </c>
      <c r="I26" s="97">
        <f t="shared" si="0"/>
        <v>0</v>
      </c>
      <c r="J26" s="65">
        <v>1048</v>
      </c>
      <c r="K26" s="66">
        <f t="shared" si="1"/>
        <v>0</v>
      </c>
      <c r="L26" s="94">
        <f t="shared" si="13"/>
        <v>67.800168873417505</v>
      </c>
      <c r="M26" s="94">
        <f t="shared" si="3"/>
        <v>0</v>
      </c>
      <c r="N26" s="62">
        <v>12</v>
      </c>
      <c r="O26" s="63">
        <f t="shared" si="4"/>
        <v>0</v>
      </c>
      <c r="P26" s="64">
        <f t="shared" si="5"/>
        <v>0</v>
      </c>
      <c r="Q26" s="65">
        <v>500</v>
      </c>
      <c r="R26" s="67">
        <f t="shared" si="6"/>
        <v>0</v>
      </c>
      <c r="S26" s="67">
        <v>0</v>
      </c>
      <c r="T26" s="94">
        <f t="shared" si="7"/>
        <v>0</v>
      </c>
      <c r="U26" s="69">
        <f t="shared" si="8"/>
        <v>0</v>
      </c>
      <c r="V26" s="101" t="str">
        <f t="shared" si="9"/>
        <v>-</v>
      </c>
      <c r="W26" s="68"/>
      <c r="X26" s="94">
        <f t="shared" si="10"/>
        <v>0</v>
      </c>
      <c r="Y26" s="94">
        <f t="shared" si="11"/>
        <v>0</v>
      </c>
      <c r="Z26" s="101" t="str">
        <f t="shared" si="12"/>
        <v>-</v>
      </c>
    </row>
    <row r="27" spans="1:26" ht="13.5" thickBot="1" x14ac:dyDescent="0.25">
      <c r="A27" s="70" t="s">
        <v>183</v>
      </c>
      <c r="B27" s="70" t="s">
        <v>122</v>
      </c>
      <c r="C27" s="70" t="s">
        <v>11</v>
      </c>
      <c r="D27" s="71" t="s">
        <v>73</v>
      </c>
      <c r="E27" s="71">
        <v>0</v>
      </c>
      <c r="F27" s="98">
        <v>92</v>
      </c>
      <c r="G27" s="72" t="s">
        <v>74</v>
      </c>
      <c r="H27" s="98">
        <v>0</v>
      </c>
      <c r="I27" s="98">
        <f t="shared" si="0"/>
        <v>0</v>
      </c>
      <c r="J27" s="74">
        <v>1048</v>
      </c>
      <c r="K27" s="75">
        <f t="shared" si="1"/>
        <v>0</v>
      </c>
      <c r="L27" s="95">
        <f t="shared" si="13"/>
        <v>40.24268087970588</v>
      </c>
      <c r="M27" s="95">
        <f t="shared" si="3"/>
        <v>0</v>
      </c>
      <c r="N27" s="71">
        <v>12</v>
      </c>
      <c r="O27" s="72">
        <f t="shared" si="4"/>
        <v>0</v>
      </c>
      <c r="P27" s="73">
        <f t="shared" si="5"/>
        <v>0</v>
      </c>
      <c r="Q27" s="74">
        <v>500</v>
      </c>
      <c r="R27" s="76">
        <f t="shared" si="6"/>
        <v>0</v>
      </c>
      <c r="S27" s="76">
        <v>0</v>
      </c>
      <c r="T27" s="95">
        <f t="shared" si="7"/>
        <v>0</v>
      </c>
      <c r="U27" s="78">
        <f t="shared" si="8"/>
        <v>0</v>
      </c>
      <c r="V27" s="102" t="str">
        <f t="shared" si="9"/>
        <v>-</v>
      </c>
      <c r="W27" s="77"/>
      <c r="X27" s="95">
        <f t="shared" si="10"/>
        <v>0</v>
      </c>
      <c r="Y27" s="95">
        <f t="shared" si="11"/>
        <v>0</v>
      </c>
      <c r="Z27" s="102" t="str">
        <f t="shared" si="12"/>
        <v>-</v>
      </c>
    </row>
    <row r="28" spans="1:26" ht="13.5" thickBot="1" x14ac:dyDescent="0.25">
      <c r="A28" s="61" t="s">
        <v>184</v>
      </c>
      <c r="B28" s="61" t="s">
        <v>72</v>
      </c>
      <c r="C28" s="61" t="s">
        <v>11</v>
      </c>
      <c r="D28" s="62" t="s">
        <v>73</v>
      </c>
      <c r="E28" s="62">
        <v>0</v>
      </c>
      <c r="F28" s="97">
        <v>273</v>
      </c>
      <c r="G28" s="63" t="s">
        <v>74</v>
      </c>
      <c r="H28" s="97">
        <v>0</v>
      </c>
      <c r="I28" s="97">
        <f t="shared" si="0"/>
        <v>0</v>
      </c>
      <c r="J28" s="65">
        <v>1048</v>
      </c>
      <c r="K28" s="66">
        <f t="shared" si="1"/>
        <v>0</v>
      </c>
      <c r="L28" s="94">
        <f t="shared" si="13"/>
        <v>119.41578130608376</v>
      </c>
      <c r="M28" s="94">
        <f t="shared" si="3"/>
        <v>0</v>
      </c>
      <c r="N28" s="62">
        <v>12</v>
      </c>
      <c r="O28" s="63">
        <f t="shared" si="4"/>
        <v>0</v>
      </c>
      <c r="P28" s="64">
        <f t="shared" si="5"/>
        <v>0</v>
      </c>
      <c r="Q28" s="65">
        <v>500</v>
      </c>
      <c r="R28" s="67">
        <f t="shared" si="6"/>
        <v>0</v>
      </c>
      <c r="S28" s="67">
        <v>0</v>
      </c>
      <c r="T28" s="94">
        <f t="shared" si="7"/>
        <v>0</v>
      </c>
      <c r="U28" s="69">
        <f t="shared" si="8"/>
        <v>0</v>
      </c>
      <c r="V28" s="101" t="str">
        <f t="shared" si="9"/>
        <v>-</v>
      </c>
      <c r="W28" s="68"/>
      <c r="X28" s="94">
        <f t="shared" si="10"/>
        <v>0</v>
      </c>
      <c r="Y28" s="94">
        <f t="shared" si="11"/>
        <v>0</v>
      </c>
      <c r="Z28" s="101" t="str">
        <f t="shared" si="12"/>
        <v>-</v>
      </c>
    </row>
    <row r="29" spans="1:26" ht="13.5" thickBot="1" x14ac:dyDescent="0.25">
      <c r="A29" s="70" t="s">
        <v>185</v>
      </c>
      <c r="B29" s="70" t="s">
        <v>123</v>
      </c>
      <c r="C29" s="70" t="s">
        <v>11</v>
      </c>
      <c r="D29" s="71" t="s">
        <v>73</v>
      </c>
      <c r="E29" s="71">
        <v>0</v>
      </c>
      <c r="F29" s="98">
        <v>59</v>
      </c>
      <c r="G29" s="72" t="s">
        <v>74</v>
      </c>
      <c r="H29" s="98">
        <v>0</v>
      </c>
      <c r="I29" s="98">
        <f t="shared" si="0"/>
        <v>0</v>
      </c>
      <c r="J29" s="74">
        <v>1048</v>
      </c>
      <c r="K29" s="75">
        <f t="shared" si="1"/>
        <v>0</v>
      </c>
      <c r="L29" s="95">
        <f t="shared" si="13"/>
        <v>25.80780621633312</v>
      </c>
      <c r="M29" s="95">
        <f t="shared" si="3"/>
        <v>0</v>
      </c>
      <c r="N29" s="71">
        <v>12</v>
      </c>
      <c r="O29" s="72">
        <f t="shared" si="4"/>
        <v>0</v>
      </c>
      <c r="P29" s="73">
        <f t="shared" si="5"/>
        <v>0</v>
      </c>
      <c r="Q29" s="74">
        <v>500</v>
      </c>
      <c r="R29" s="76">
        <f t="shared" si="6"/>
        <v>0</v>
      </c>
      <c r="S29" s="76">
        <v>0</v>
      </c>
      <c r="T29" s="95">
        <f t="shared" si="7"/>
        <v>0</v>
      </c>
      <c r="U29" s="78">
        <f t="shared" si="8"/>
        <v>0</v>
      </c>
      <c r="V29" s="102" t="str">
        <f t="shared" si="9"/>
        <v>-</v>
      </c>
      <c r="W29" s="77"/>
      <c r="X29" s="95">
        <f t="shared" si="10"/>
        <v>0</v>
      </c>
      <c r="Y29" s="95">
        <f t="shared" si="11"/>
        <v>0</v>
      </c>
      <c r="Z29" s="102" t="str">
        <f t="shared" si="12"/>
        <v>-</v>
      </c>
    </row>
    <row r="30" spans="1:26" ht="13.5" thickBot="1" x14ac:dyDescent="0.25">
      <c r="A30" s="61" t="s">
        <v>186</v>
      </c>
      <c r="B30" s="61" t="s">
        <v>124</v>
      </c>
      <c r="C30" s="61" t="s">
        <v>135</v>
      </c>
      <c r="D30" s="62" t="s">
        <v>15</v>
      </c>
      <c r="E30" s="62">
        <v>26</v>
      </c>
      <c r="F30" s="97">
        <v>1.1000000000000001</v>
      </c>
      <c r="G30" s="63" t="s">
        <v>80</v>
      </c>
      <c r="H30" s="97">
        <v>4065</v>
      </c>
      <c r="I30" s="97">
        <f t="shared" si="0"/>
        <v>4471.5</v>
      </c>
      <c r="J30" s="65">
        <v>5.23</v>
      </c>
      <c r="K30" s="66">
        <f t="shared" si="1"/>
        <v>21259.95</v>
      </c>
      <c r="L30" s="94">
        <f t="shared" si="13"/>
        <v>0.65833480478963158</v>
      </c>
      <c r="M30" s="94">
        <f t="shared" si="3"/>
        <v>18583.81901853015</v>
      </c>
      <c r="N30" s="62">
        <v>18</v>
      </c>
      <c r="O30" s="63">
        <f t="shared" si="4"/>
        <v>59469.577365996709</v>
      </c>
      <c r="P30" s="64">
        <f t="shared" si="5"/>
        <v>16850.542726266445</v>
      </c>
      <c r="Q30" s="65">
        <v>5</v>
      </c>
      <c r="R30" s="67">
        <f t="shared" si="6"/>
        <v>20325</v>
      </c>
      <c r="S30" s="67">
        <v>0</v>
      </c>
      <c r="T30" s="94">
        <f t="shared" si="7"/>
        <v>0.34177138799747636</v>
      </c>
      <c r="U30" s="69">
        <f t="shared" si="8"/>
        <v>0.62511866357272172</v>
      </c>
      <c r="V30" s="101">
        <f t="shared" si="9"/>
        <v>2.249190911859035</v>
      </c>
      <c r="W30" s="68"/>
      <c r="X30" s="94">
        <f t="shared" si="10"/>
        <v>0.31249287184536034</v>
      </c>
      <c r="Y30" s="94">
        <f t="shared" si="11"/>
        <v>0.59584014742060565</v>
      </c>
      <c r="Z30" s="101">
        <f t="shared" si="12"/>
        <v>2.1451928355858829</v>
      </c>
    </row>
    <row r="31" spans="1:26" ht="13.5" thickBot="1" x14ac:dyDescent="0.25">
      <c r="A31" s="70" t="s">
        <v>220</v>
      </c>
      <c r="B31" s="70" t="s">
        <v>125</v>
      </c>
      <c r="C31" s="70" t="s">
        <v>136</v>
      </c>
      <c r="D31" s="71" t="s">
        <v>14</v>
      </c>
      <c r="E31" s="71">
        <v>0</v>
      </c>
      <c r="F31" s="98">
        <v>0.61</v>
      </c>
      <c r="G31" s="72" t="s">
        <v>80</v>
      </c>
      <c r="H31" s="98">
        <v>0</v>
      </c>
      <c r="I31" s="98">
        <f t="shared" si="0"/>
        <v>0</v>
      </c>
      <c r="J31" s="74">
        <v>3.26</v>
      </c>
      <c r="K31" s="75">
        <f t="shared" si="1"/>
        <v>0</v>
      </c>
      <c r="L31" s="95">
        <f t="shared" si="13"/>
        <v>0.36507657356515927</v>
      </c>
      <c r="M31" s="95">
        <f t="shared" si="3"/>
        <v>0</v>
      </c>
      <c r="N31" s="71">
        <v>18</v>
      </c>
      <c r="O31" s="72">
        <f t="shared" si="4"/>
        <v>0</v>
      </c>
      <c r="P31" s="73">
        <f t="shared" si="5"/>
        <v>0</v>
      </c>
      <c r="Q31" s="74">
        <v>1.5</v>
      </c>
      <c r="R31" s="76">
        <f t="shared" si="6"/>
        <v>0</v>
      </c>
      <c r="S31" s="76">
        <v>0</v>
      </c>
      <c r="T31" s="95">
        <f t="shared" si="7"/>
        <v>0</v>
      </c>
      <c r="U31" s="78">
        <f t="shared" si="8"/>
        <v>0</v>
      </c>
      <c r="V31" s="102" t="str">
        <f t="shared" si="9"/>
        <v>-</v>
      </c>
      <c r="W31" s="77"/>
      <c r="X31" s="95">
        <f t="shared" si="10"/>
        <v>0</v>
      </c>
      <c r="Y31" s="95">
        <f t="shared" si="11"/>
        <v>0</v>
      </c>
      <c r="Z31" s="102" t="str">
        <f t="shared" si="12"/>
        <v>-</v>
      </c>
    </row>
    <row r="32" spans="1:26" ht="13.5" thickBot="1" x14ac:dyDescent="0.25">
      <c r="A32" s="61" t="s">
        <v>187</v>
      </c>
      <c r="B32" s="61" t="s">
        <v>94</v>
      </c>
      <c r="C32" s="61" t="s">
        <v>36</v>
      </c>
      <c r="D32" s="62" t="s">
        <v>95</v>
      </c>
      <c r="E32" s="62">
        <v>2</v>
      </c>
      <c r="F32" s="97">
        <v>0.31</v>
      </c>
      <c r="G32" s="63" t="s">
        <v>96</v>
      </c>
      <c r="H32" s="97">
        <v>23975</v>
      </c>
      <c r="I32" s="97">
        <f t="shared" si="0"/>
        <v>7432.25</v>
      </c>
      <c r="J32" s="65">
        <v>1.35</v>
      </c>
      <c r="K32" s="66">
        <f t="shared" si="1"/>
        <v>32366.250000000004</v>
      </c>
      <c r="L32" s="94">
        <f t="shared" si="13"/>
        <v>0.25981399800736749</v>
      </c>
      <c r="M32" s="94">
        <f t="shared" si="3"/>
        <v>26137.209397773368</v>
      </c>
      <c r="N32" s="62">
        <v>30</v>
      </c>
      <c r="O32" s="63">
        <f t="shared" si="4"/>
        <v>138423.12449392522</v>
      </c>
      <c r="P32" s="64">
        <f t="shared" si="5"/>
        <v>28007.927133466124</v>
      </c>
      <c r="Q32" s="65">
        <v>2</v>
      </c>
      <c r="R32" s="67">
        <f t="shared" si="6"/>
        <v>47950</v>
      </c>
      <c r="S32" s="67">
        <v>0</v>
      </c>
      <c r="T32" s="94">
        <f t="shared" si="7"/>
        <v>0.34640165922641281</v>
      </c>
      <c r="U32" s="69">
        <f t="shared" si="8"/>
        <v>0.54873726778793797</v>
      </c>
      <c r="V32" s="101">
        <f t="shared" si="9"/>
        <v>3.4107016341187264</v>
      </c>
      <c r="W32" s="68"/>
      <c r="X32" s="94">
        <f t="shared" si="10"/>
        <v>0.18882111997782866</v>
      </c>
      <c r="Y32" s="94">
        <f t="shared" si="11"/>
        <v>0.39115672853935385</v>
      </c>
      <c r="Z32" s="101">
        <f t="shared" si="12"/>
        <v>4.3497539927861961</v>
      </c>
    </row>
    <row r="33" spans="1:26" ht="13.5" thickBot="1" x14ac:dyDescent="0.25">
      <c r="A33" s="70" t="s">
        <v>188</v>
      </c>
      <c r="B33" s="70" t="s">
        <v>108</v>
      </c>
      <c r="C33" s="70" t="s">
        <v>36</v>
      </c>
      <c r="D33" s="71" t="s">
        <v>109</v>
      </c>
      <c r="E33" s="71">
        <v>8</v>
      </c>
      <c r="F33" s="98">
        <v>0.32</v>
      </c>
      <c r="G33" s="72" t="s">
        <v>96</v>
      </c>
      <c r="H33" s="98">
        <v>35804</v>
      </c>
      <c r="I33" s="98">
        <f t="shared" si="0"/>
        <v>11457.28</v>
      </c>
      <c r="J33" s="74">
        <v>1.63</v>
      </c>
      <c r="K33" s="75">
        <f t="shared" si="1"/>
        <v>58360.52</v>
      </c>
      <c r="L33" s="95">
        <f t="shared" si="13"/>
        <v>0.26819509471728253</v>
      </c>
      <c r="M33" s="95">
        <f t="shared" si="3"/>
        <v>48758.062828742419</v>
      </c>
      <c r="N33" s="71">
        <v>30</v>
      </c>
      <c r="O33" s="72">
        <f t="shared" si="4"/>
        <v>213387.93713905741</v>
      </c>
      <c r="P33" s="73">
        <f t="shared" si="5"/>
        <v>43175.978120719672</v>
      </c>
      <c r="Q33" s="74">
        <v>2.5</v>
      </c>
      <c r="R33" s="76">
        <f t="shared" si="6"/>
        <v>89510</v>
      </c>
      <c r="S33" s="76">
        <v>-31951.320000000007</v>
      </c>
      <c r="T33" s="95">
        <f t="shared" si="7"/>
        <v>0.41947075921948429</v>
      </c>
      <c r="U33" s="78">
        <f t="shared" si="8"/>
        <v>0.62180636778100951</v>
      </c>
      <c r="V33" s="102">
        <f t="shared" si="9"/>
        <v>3.0099066090704727</v>
      </c>
      <c r="W33" s="77"/>
      <c r="X33" s="95">
        <f t="shared" si="10"/>
        <v>0.22849493501110377</v>
      </c>
      <c r="Y33" s="95">
        <f t="shared" si="11"/>
        <v>0.43083054357262901</v>
      </c>
      <c r="Z33" s="102">
        <f t="shared" si="12"/>
        <v>3.9491989766097322</v>
      </c>
    </row>
    <row r="34" spans="1:26" ht="13.5" thickBot="1" x14ac:dyDescent="0.25">
      <c r="A34" s="61" t="s">
        <v>189</v>
      </c>
      <c r="B34" s="61" t="s">
        <v>151</v>
      </c>
      <c r="C34" s="61" t="s">
        <v>137</v>
      </c>
      <c r="D34" s="62" t="s">
        <v>138</v>
      </c>
      <c r="E34" s="62">
        <v>4</v>
      </c>
      <c r="F34" s="97">
        <v>5.6000000000000001E-2</v>
      </c>
      <c r="G34" s="63" t="s">
        <v>105</v>
      </c>
      <c r="H34" s="97">
        <v>16231</v>
      </c>
      <c r="I34" s="97">
        <f t="shared" si="0"/>
        <v>908.93600000000004</v>
      </c>
      <c r="J34" s="65">
        <v>1.08</v>
      </c>
      <c r="K34" s="66">
        <f t="shared" si="1"/>
        <v>17529.48</v>
      </c>
      <c r="L34" s="94">
        <f t="shared" si="13"/>
        <v>5.7655086724650952E-2</v>
      </c>
      <c r="M34" s="94">
        <f t="shared" si="3"/>
        <v>16593.68028737219</v>
      </c>
      <c r="N34" s="62">
        <v>45</v>
      </c>
      <c r="O34" s="63">
        <f t="shared" si="4"/>
        <v>20795.549169506878</v>
      </c>
      <c r="P34" s="64">
        <f t="shared" si="5"/>
        <v>3425.2633128573671</v>
      </c>
      <c r="Q34" s="65">
        <v>0.75</v>
      </c>
      <c r="R34" s="67">
        <f t="shared" si="6"/>
        <v>12173.25</v>
      </c>
      <c r="S34" s="67">
        <v>2401.880000000001</v>
      </c>
      <c r="T34" s="94">
        <f t="shared" si="7"/>
        <v>0.58537766426721694</v>
      </c>
      <c r="U34" s="69">
        <f t="shared" si="8"/>
        <v>0.75008903038395947</v>
      </c>
      <c r="V34" s="101">
        <f t="shared" si="9"/>
        <v>3.5700483483617464</v>
      </c>
      <c r="W34" s="68"/>
      <c r="X34" s="94">
        <f t="shared" si="10"/>
        <v>0.7979438365447924</v>
      </c>
      <c r="Y34" s="94">
        <f t="shared" si="11"/>
        <v>0.96265520266153481</v>
      </c>
      <c r="Z34" s="101">
        <f t="shared" si="12"/>
        <v>2.5288522984448041</v>
      </c>
    </row>
    <row r="35" spans="1:26" ht="13.5" thickBot="1" x14ac:dyDescent="0.25">
      <c r="A35" s="70" t="s">
        <v>190</v>
      </c>
      <c r="B35" s="70" t="s">
        <v>126</v>
      </c>
      <c r="C35" s="70" t="s">
        <v>139</v>
      </c>
      <c r="D35" s="71" t="s">
        <v>140</v>
      </c>
      <c r="E35" s="71">
        <v>0</v>
      </c>
      <c r="F35" s="98">
        <v>6</v>
      </c>
      <c r="G35" s="72" t="s">
        <v>147</v>
      </c>
      <c r="H35" s="98">
        <v>0</v>
      </c>
      <c r="I35" s="98">
        <f t="shared" si="0"/>
        <v>0</v>
      </c>
      <c r="J35" s="74">
        <v>8</v>
      </c>
      <c r="K35" s="75">
        <f t="shared" si="1"/>
        <v>0</v>
      </c>
      <c r="L35" s="95">
        <f t="shared" si="13"/>
        <v>3.8723040576252239</v>
      </c>
      <c r="M35" s="95">
        <f t="shared" si="3"/>
        <v>0</v>
      </c>
      <c r="N35" s="71">
        <v>20</v>
      </c>
      <c r="O35" s="72">
        <f t="shared" si="4"/>
        <v>0</v>
      </c>
      <c r="P35" s="73">
        <f t="shared" si="5"/>
        <v>0</v>
      </c>
      <c r="Q35" s="74">
        <v>15</v>
      </c>
      <c r="R35" s="76">
        <f t="shared" si="6"/>
        <v>0</v>
      </c>
      <c r="S35" s="76">
        <v>0</v>
      </c>
      <c r="T35" s="95">
        <f t="shared" si="7"/>
        <v>0</v>
      </c>
      <c r="U35" s="78">
        <f t="shared" si="8"/>
        <v>0</v>
      </c>
      <c r="V35" s="102" t="str">
        <f t="shared" si="9"/>
        <v>-</v>
      </c>
      <c r="W35" s="77"/>
      <c r="X35" s="95">
        <f t="shared" si="10"/>
        <v>0</v>
      </c>
      <c r="Y35" s="95">
        <f t="shared" si="11"/>
        <v>0</v>
      </c>
      <c r="Z35" s="102" t="str">
        <f t="shared" si="12"/>
        <v>-</v>
      </c>
    </row>
    <row r="36" spans="1:26" ht="13.5" thickBot="1" x14ac:dyDescent="0.25">
      <c r="A36" s="61" t="s">
        <v>191</v>
      </c>
      <c r="B36" s="61" t="s">
        <v>127</v>
      </c>
      <c r="C36" s="61" t="s">
        <v>141</v>
      </c>
      <c r="D36" s="62" t="s">
        <v>142</v>
      </c>
      <c r="E36" s="62">
        <v>0</v>
      </c>
      <c r="F36" s="97">
        <v>12</v>
      </c>
      <c r="G36" s="63" t="s">
        <v>147</v>
      </c>
      <c r="H36" s="97">
        <v>0</v>
      </c>
      <c r="I36" s="97">
        <f t="shared" ref="I36:I58" si="14">H36*F36</f>
        <v>0</v>
      </c>
      <c r="J36" s="65">
        <v>18</v>
      </c>
      <c r="K36" s="66">
        <f t="shared" si="1"/>
        <v>0</v>
      </c>
      <c r="L36" s="94">
        <f t="shared" si="13"/>
        <v>7.7446081152504478</v>
      </c>
      <c r="M36" s="94">
        <f t="shared" ref="M36:M67" si="15">MAX(0,H36*(J36-L36))</f>
        <v>0</v>
      </c>
      <c r="N36" s="62">
        <v>20</v>
      </c>
      <c r="O36" s="63">
        <f t="shared" ref="O36:O58" si="16">PV($B$74,N36,-I36)</f>
        <v>0</v>
      </c>
      <c r="P36" s="64">
        <f t="shared" ref="P36:P58" si="17">$B$77*I36/SUM($I$4:$I$51)</f>
        <v>0</v>
      </c>
      <c r="Q36" s="65">
        <v>25</v>
      </c>
      <c r="R36" s="67">
        <f t="shared" ref="R36:R58" si="18">H36*Q36</f>
        <v>0</v>
      </c>
      <c r="S36" s="67">
        <v>0</v>
      </c>
      <c r="T36" s="94">
        <f t="shared" ref="T36:T58" si="19">IF(ISERROR(R36/O36),0,R36/O36)</f>
        <v>0</v>
      </c>
      <c r="U36" s="69">
        <f t="shared" ref="U36:U58" si="20">IF(O36=0,0,(R36+P36)/O36)</f>
        <v>0</v>
      </c>
      <c r="V36" s="101" t="str">
        <f t="shared" ref="V36:V58" si="21">IF($R36=0,"-",(VLOOKUP($N36,AC,6)*$I36)/($R36+$P36))</f>
        <v>-</v>
      </c>
      <c r="W36" s="68"/>
      <c r="X36" s="94">
        <f t="shared" ref="X36:X58" si="22">IF(ISERROR(M36/O36),0,M36/O36)</f>
        <v>0</v>
      </c>
      <c r="Y36" s="94">
        <f t="shared" ref="Y36:Y58" si="23">IF(O36=0,0,(M36+P36)/O36)</f>
        <v>0</v>
      </c>
      <c r="Z36" s="101" t="str">
        <f t="shared" ref="Z36:Z58" si="24">IF($M36=0,"-",(VLOOKUP($N36,AC,4)*$I36)/(M36+P36))</f>
        <v>-</v>
      </c>
    </row>
    <row r="37" spans="1:26" ht="13.5" thickBot="1" x14ac:dyDescent="0.25">
      <c r="A37" s="70" t="s">
        <v>192</v>
      </c>
      <c r="B37" s="70" t="s">
        <v>106</v>
      </c>
      <c r="C37" s="70" t="s">
        <v>101</v>
      </c>
      <c r="D37" s="71" t="s">
        <v>107</v>
      </c>
      <c r="E37" s="71">
        <v>3</v>
      </c>
      <c r="F37" s="98">
        <v>0.35</v>
      </c>
      <c r="G37" s="72" t="s">
        <v>96</v>
      </c>
      <c r="H37" s="98">
        <v>8888</v>
      </c>
      <c r="I37" s="98">
        <f t="shared" si="14"/>
        <v>3110.7999999999997</v>
      </c>
      <c r="J37" s="74">
        <v>1.83</v>
      </c>
      <c r="K37" s="75">
        <f t="shared" si="1"/>
        <v>16265.04</v>
      </c>
      <c r="L37" s="95">
        <f t="shared" si="13"/>
        <v>0.29333838484702779</v>
      </c>
      <c r="M37" s="95">
        <f t="shared" si="15"/>
        <v>13657.848435479616</v>
      </c>
      <c r="N37" s="71">
        <v>30</v>
      </c>
      <c r="O37" s="72">
        <f t="shared" si="16"/>
        <v>57937.590322675169</v>
      </c>
      <c r="P37" s="73">
        <f t="shared" si="17"/>
        <v>11722.837596526815</v>
      </c>
      <c r="Q37" s="74">
        <v>2</v>
      </c>
      <c r="R37" s="76">
        <f t="shared" si="18"/>
        <v>17776</v>
      </c>
      <c r="S37" s="76">
        <v>0</v>
      </c>
      <c r="T37" s="95">
        <f t="shared" si="19"/>
        <v>0.30681289817196566</v>
      </c>
      <c r="U37" s="78">
        <f t="shared" si="20"/>
        <v>0.50914850673349088</v>
      </c>
      <c r="V37" s="102">
        <f t="shared" si="21"/>
        <v>3.675900196493803</v>
      </c>
      <c r="W37" s="77"/>
      <c r="X37" s="95">
        <f t="shared" si="22"/>
        <v>0.23573380182734857</v>
      </c>
      <c r="Y37" s="95">
        <f t="shared" si="23"/>
        <v>0.43806941038887376</v>
      </c>
      <c r="Z37" s="102">
        <f t="shared" si="24"/>
        <v>3.8839405386896981</v>
      </c>
    </row>
    <row r="38" spans="1:26" ht="13.5" thickBot="1" x14ac:dyDescent="0.25">
      <c r="A38" s="61" t="s">
        <v>193</v>
      </c>
      <c r="B38" s="61" t="s">
        <v>100</v>
      </c>
      <c r="C38" s="61" t="s">
        <v>101</v>
      </c>
      <c r="D38" s="62" t="s">
        <v>102</v>
      </c>
      <c r="E38" s="62">
        <v>2</v>
      </c>
      <c r="F38" s="97">
        <v>0.36</v>
      </c>
      <c r="G38" s="63" t="s">
        <v>96</v>
      </c>
      <c r="H38" s="97">
        <v>47884</v>
      </c>
      <c r="I38" s="97">
        <f t="shared" si="14"/>
        <v>17238.239999999998</v>
      </c>
      <c r="J38" s="65">
        <v>2.15</v>
      </c>
      <c r="K38" s="66">
        <f t="shared" si="1"/>
        <v>102950.59999999999</v>
      </c>
      <c r="L38" s="94">
        <f t="shared" si="13"/>
        <v>0.30171948155694289</v>
      </c>
      <c r="M38" s="94">
        <f t="shared" si="15"/>
        <v>88503.06434512735</v>
      </c>
      <c r="N38" s="62">
        <v>30</v>
      </c>
      <c r="O38" s="63">
        <f t="shared" si="16"/>
        <v>321056.34788605885</v>
      </c>
      <c r="P38" s="64">
        <f t="shared" si="17"/>
        <v>64961.131532066473</v>
      </c>
      <c r="Q38" s="65">
        <v>2.5</v>
      </c>
      <c r="R38" s="67">
        <f t="shared" si="18"/>
        <v>119710</v>
      </c>
      <c r="S38" s="67">
        <v>0</v>
      </c>
      <c r="T38" s="94">
        <f t="shared" si="19"/>
        <v>0.37286289708398612</v>
      </c>
      <c r="U38" s="69">
        <f t="shared" si="20"/>
        <v>0.57519850564551134</v>
      </c>
      <c r="V38" s="101">
        <f t="shared" si="21"/>
        <v>3.2537968676497213</v>
      </c>
      <c r="W38" s="68"/>
      <c r="X38" s="94">
        <f t="shared" si="22"/>
        <v>0.27566209149222803</v>
      </c>
      <c r="Y38" s="94">
        <f t="shared" si="23"/>
        <v>0.47799770005375325</v>
      </c>
      <c r="Z38" s="101">
        <f t="shared" si="24"/>
        <v>3.5595057080356369</v>
      </c>
    </row>
    <row r="39" spans="1:26" ht="13.5" thickBot="1" x14ac:dyDescent="0.25">
      <c r="A39" s="70" t="s">
        <v>194</v>
      </c>
      <c r="B39" s="70" t="s">
        <v>97</v>
      </c>
      <c r="C39" s="70" t="s">
        <v>98</v>
      </c>
      <c r="D39" s="71" t="s">
        <v>99</v>
      </c>
      <c r="E39" s="71">
        <v>3</v>
      </c>
      <c r="F39" s="98">
        <v>0.16</v>
      </c>
      <c r="G39" s="72" t="s">
        <v>96</v>
      </c>
      <c r="H39" s="98">
        <v>5571</v>
      </c>
      <c r="I39" s="98">
        <f t="shared" si="14"/>
        <v>891.36</v>
      </c>
      <c r="J39" s="74">
        <v>1.5</v>
      </c>
      <c r="K39" s="75">
        <f t="shared" si="1"/>
        <v>8356.5</v>
      </c>
      <c r="L39" s="95">
        <f t="shared" si="13"/>
        <v>0.13409754735864127</v>
      </c>
      <c r="M39" s="95">
        <f t="shared" si="15"/>
        <v>7609.4425636650094</v>
      </c>
      <c r="N39" s="71">
        <v>30</v>
      </c>
      <c r="O39" s="72">
        <f t="shared" si="16"/>
        <v>16601.276362999786</v>
      </c>
      <c r="P39" s="73">
        <f t="shared" si="17"/>
        <v>3359.029355805626</v>
      </c>
      <c r="Q39" s="74">
        <v>1.25</v>
      </c>
      <c r="R39" s="76">
        <f t="shared" si="18"/>
        <v>6963.75</v>
      </c>
      <c r="S39" s="76">
        <v>361.44999999999982</v>
      </c>
      <c r="T39" s="95">
        <f t="shared" si="19"/>
        <v>0.41947075921948435</v>
      </c>
      <c r="U39" s="78">
        <f t="shared" si="20"/>
        <v>0.62180636778100951</v>
      </c>
      <c r="V39" s="102">
        <f t="shared" si="21"/>
        <v>3.0099066090704727</v>
      </c>
      <c r="W39" s="77"/>
      <c r="X39" s="95">
        <f t="shared" si="22"/>
        <v>0.45836491106338118</v>
      </c>
      <c r="Y39" s="95">
        <f t="shared" si="23"/>
        <v>0.6607005196249065</v>
      </c>
      <c r="Z39" s="102">
        <f t="shared" si="24"/>
        <v>2.5751993395361361</v>
      </c>
    </row>
    <row r="40" spans="1:26" ht="13.5" thickBot="1" x14ac:dyDescent="0.25">
      <c r="A40" s="61" t="s">
        <v>195</v>
      </c>
      <c r="B40" s="61" t="s">
        <v>103</v>
      </c>
      <c r="C40" s="61" t="s">
        <v>98</v>
      </c>
      <c r="D40" s="62" t="s">
        <v>104</v>
      </c>
      <c r="E40" s="62">
        <v>4</v>
      </c>
      <c r="F40" s="97">
        <v>0.19</v>
      </c>
      <c r="G40" s="63" t="s">
        <v>105</v>
      </c>
      <c r="H40" s="97">
        <v>16539</v>
      </c>
      <c r="I40" s="97">
        <f t="shared" si="14"/>
        <v>3142.41</v>
      </c>
      <c r="J40" s="65">
        <v>1.7</v>
      </c>
      <c r="K40" s="66">
        <f t="shared" si="1"/>
        <v>28116.3</v>
      </c>
      <c r="L40" s="94">
        <f t="shared" si="13"/>
        <v>0.15924083748838649</v>
      </c>
      <c r="M40" s="94">
        <f t="shared" si="15"/>
        <v>25482.615788779574</v>
      </c>
      <c r="N40" s="62">
        <v>30</v>
      </c>
      <c r="O40" s="63">
        <f t="shared" si="16"/>
        <v>58526.315804898317</v>
      </c>
      <c r="P40" s="64">
        <f t="shared" si="17"/>
        <v>11841.957725248112</v>
      </c>
      <c r="Q40" s="65">
        <v>1.5</v>
      </c>
      <c r="R40" s="67">
        <f t="shared" si="18"/>
        <v>24808.5</v>
      </c>
      <c r="S40" s="67">
        <v>0</v>
      </c>
      <c r="T40" s="94">
        <f t="shared" si="19"/>
        <v>0.42388624089547888</v>
      </c>
      <c r="U40" s="69">
        <f t="shared" si="20"/>
        <v>0.6262218494570041</v>
      </c>
      <c r="V40" s="101">
        <f t="shared" si="21"/>
        <v>2.9886837988310506</v>
      </c>
      <c r="W40" s="68"/>
      <c r="X40" s="94">
        <f t="shared" si="22"/>
        <v>0.43540440634820937</v>
      </c>
      <c r="Y40" s="94">
        <f t="shared" si="23"/>
        <v>0.63774001490973464</v>
      </c>
      <c r="Z40" s="101">
        <f t="shared" si="24"/>
        <v>2.6679140433269839</v>
      </c>
    </row>
    <row r="41" spans="1:26" ht="13.5" thickBot="1" x14ac:dyDescent="0.25">
      <c r="A41" s="70" t="s">
        <v>196</v>
      </c>
      <c r="B41" s="70" t="s">
        <v>65</v>
      </c>
      <c r="C41" s="70" t="s">
        <v>11</v>
      </c>
      <c r="D41" s="71" t="s">
        <v>66</v>
      </c>
      <c r="E41" s="71">
        <v>4</v>
      </c>
      <c r="F41" s="98">
        <v>448</v>
      </c>
      <c r="G41" s="72" t="s">
        <v>27</v>
      </c>
      <c r="H41" s="98">
        <v>4</v>
      </c>
      <c r="I41" s="98">
        <f t="shared" si="14"/>
        <v>1792</v>
      </c>
      <c r="J41" s="74">
        <v>1800</v>
      </c>
      <c r="K41" s="75">
        <f t="shared" si="1"/>
        <v>7200</v>
      </c>
      <c r="L41" s="95">
        <f>PV($B$74,$N41,(-0.05*0.9*$F41))+PV($B$74,$N41,-4500/1000*10)</f>
        <v>633.38480341102286</v>
      </c>
      <c r="M41" s="95">
        <f t="shared" si="15"/>
        <v>4666.4607863559086</v>
      </c>
      <c r="N41" s="71">
        <v>12</v>
      </c>
      <c r="O41" s="72">
        <f t="shared" si="16"/>
        <v>17419.054139235006</v>
      </c>
      <c r="P41" s="73">
        <f t="shared" si="17"/>
        <v>6753.0297585753033</v>
      </c>
      <c r="Q41" s="74">
        <v>800</v>
      </c>
      <c r="R41" s="76">
        <f t="shared" si="18"/>
        <v>3200</v>
      </c>
      <c r="S41" s="76">
        <v>0</v>
      </c>
      <c r="T41" s="95">
        <f t="shared" si="19"/>
        <v>0.18370687492108195</v>
      </c>
      <c r="U41" s="78">
        <f t="shared" si="20"/>
        <v>0.57138749779512488</v>
      </c>
      <c r="V41" s="102">
        <f t="shared" si="21"/>
        <v>2.1418771584980782</v>
      </c>
      <c r="W41" s="77"/>
      <c r="X41" s="95">
        <f t="shared" si="22"/>
        <v>0.26789404000100581</v>
      </c>
      <c r="Y41" s="95">
        <f t="shared" si="23"/>
        <v>0.65557466287504873</v>
      </c>
      <c r="Z41" s="102">
        <f t="shared" si="24"/>
        <v>1.6971117783921084</v>
      </c>
    </row>
    <row r="42" spans="1:26" ht="13.5" thickBot="1" x14ac:dyDescent="0.25">
      <c r="A42" s="61" t="s">
        <v>197</v>
      </c>
      <c r="B42" s="61" t="s">
        <v>128</v>
      </c>
      <c r="C42" s="61" t="s">
        <v>11</v>
      </c>
      <c r="D42" s="62" t="s">
        <v>143</v>
      </c>
      <c r="E42" s="62">
        <v>0</v>
      </c>
      <c r="F42" s="97">
        <v>645</v>
      </c>
      <c r="G42" s="63" t="s">
        <v>27</v>
      </c>
      <c r="H42" s="97">
        <v>0</v>
      </c>
      <c r="I42" s="97">
        <f t="shared" si="14"/>
        <v>0</v>
      </c>
      <c r="J42" s="65">
        <v>4000</v>
      </c>
      <c r="K42" s="66">
        <f t="shared" si="1"/>
        <v>0</v>
      </c>
      <c r="L42" s="94">
        <f>PV($B$74,$N42,(-0.05*0.9*$F42))+PV($B$74,$N42,-9)</f>
        <v>545.34948811555228</v>
      </c>
      <c r="M42" s="94">
        <f t="shared" si="15"/>
        <v>0</v>
      </c>
      <c r="N42" s="62">
        <v>20</v>
      </c>
      <c r="O42" s="63">
        <f t="shared" si="16"/>
        <v>0</v>
      </c>
      <c r="P42" s="64">
        <f t="shared" si="17"/>
        <v>0</v>
      </c>
      <c r="Q42" s="65">
        <v>2500</v>
      </c>
      <c r="R42" s="67">
        <f t="shared" si="18"/>
        <v>0</v>
      </c>
      <c r="S42" s="67">
        <v>0</v>
      </c>
      <c r="T42" s="94">
        <f t="shared" si="19"/>
        <v>0</v>
      </c>
      <c r="U42" s="69">
        <f t="shared" si="20"/>
        <v>0</v>
      </c>
      <c r="V42" s="101" t="str">
        <f t="shared" si="21"/>
        <v>-</v>
      </c>
      <c r="W42" s="68"/>
      <c r="X42" s="94">
        <f t="shared" si="22"/>
        <v>0</v>
      </c>
      <c r="Y42" s="94">
        <f t="shared" si="23"/>
        <v>0</v>
      </c>
      <c r="Z42" s="101" t="str">
        <f t="shared" si="24"/>
        <v>-</v>
      </c>
    </row>
    <row r="43" spans="1:26" ht="13.5" thickBot="1" x14ac:dyDescent="0.25">
      <c r="A43" s="70" t="s">
        <v>198</v>
      </c>
      <c r="B43" s="70" t="s">
        <v>54</v>
      </c>
      <c r="C43" s="70" t="s">
        <v>55</v>
      </c>
      <c r="D43" s="71" t="s">
        <v>33</v>
      </c>
      <c r="E43" s="71">
        <v>5</v>
      </c>
      <c r="F43" s="98">
        <v>136</v>
      </c>
      <c r="G43" s="72" t="s">
        <v>56</v>
      </c>
      <c r="H43" s="98">
        <v>34</v>
      </c>
      <c r="I43" s="98">
        <f t="shared" si="14"/>
        <v>4624</v>
      </c>
      <c r="J43" s="74">
        <v>315</v>
      </c>
      <c r="K43" s="75">
        <f t="shared" si="1"/>
        <v>10710</v>
      </c>
      <c r="L43" s="95">
        <f>PV($B$74,$N43,(-0.05*0.9*$F43))+PV($B$74,$N43,-850/1000*10)</f>
        <v>66.197430772608939</v>
      </c>
      <c r="M43" s="95">
        <f t="shared" si="15"/>
        <v>8459.2873537312971</v>
      </c>
      <c r="N43" s="71">
        <v>5</v>
      </c>
      <c r="O43" s="72">
        <f t="shared" si="16"/>
        <v>20936.861825755383</v>
      </c>
      <c r="P43" s="73">
        <f t="shared" si="17"/>
        <v>17425.228573466633</v>
      </c>
      <c r="Q43" s="74">
        <v>105</v>
      </c>
      <c r="R43" s="76">
        <f t="shared" si="18"/>
        <v>3570</v>
      </c>
      <c r="S43" s="76">
        <v>0</v>
      </c>
      <c r="T43" s="95">
        <f t="shared" si="19"/>
        <v>0.17051265990628936</v>
      </c>
      <c r="U43" s="78">
        <f t="shared" si="20"/>
        <v>1.002787750532864</v>
      </c>
      <c r="V43" s="102">
        <f t="shared" si="21"/>
        <v>1.0317169843474978</v>
      </c>
      <c r="W43" s="77"/>
      <c r="X43" s="95">
        <f t="shared" si="22"/>
        <v>0.40403797971886812</v>
      </c>
      <c r="Y43" s="95">
        <f t="shared" si="23"/>
        <v>1.2363130703454428</v>
      </c>
      <c r="Z43" s="102">
        <f t="shared" si="24"/>
        <v>0.76076137460385118</v>
      </c>
    </row>
    <row r="44" spans="1:26" ht="13.5" thickBot="1" x14ac:dyDescent="0.25">
      <c r="A44" s="61" t="s">
        <v>199</v>
      </c>
      <c r="B44" s="61" t="s">
        <v>129</v>
      </c>
      <c r="C44" s="61" t="s">
        <v>144</v>
      </c>
      <c r="D44" s="62" t="s">
        <v>145</v>
      </c>
      <c r="E44" s="62">
        <v>0</v>
      </c>
      <c r="F44" s="97">
        <v>1049</v>
      </c>
      <c r="G44" s="63" t="s">
        <v>148</v>
      </c>
      <c r="H44" s="97">
        <v>0</v>
      </c>
      <c r="I44" s="97">
        <f t="shared" si="14"/>
        <v>0</v>
      </c>
      <c r="J44" s="65">
        <v>8283</v>
      </c>
      <c r="K44" s="66">
        <f t="shared" si="1"/>
        <v>0</v>
      </c>
      <c r="L44" s="94">
        <f t="shared" ref="L44:L51" si="25">PV($B$74,$N44,(-0.05*0.9*$F44))</f>
        <v>394.57158653081893</v>
      </c>
      <c r="M44" s="94">
        <f t="shared" si="15"/>
        <v>0</v>
      </c>
      <c r="N44" s="62">
        <v>10</v>
      </c>
      <c r="O44" s="63">
        <f t="shared" si="16"/>
        <v>0</v>
      </c>
      <c r="P44" s="64">
        <f t="shared" si="17"/>
        <v>0</v>
      </c>
      <c r="Q44" s="65">
        <v>2500</v>
      </c>
      <c r="R44" s="67">
        <f t="shared" si="18"/>
        <v>0</v>
      </c>
      <c r="S44" s="67">
        <v>0</v>
      </c>
      <c r="T44" s="94">
        <f t="shared" si="19"/>
        <v>0</v>
      </c>
      <c r="U44" s="69">
        <f t="shared" si="20"/>
        <v>0</v>
      </c>
      <c r="V44" s="101" t="str">
        <f t="shared" si="21"/>
        <v>-</v>
      </c>
      <c r="W44" s="68"/>
      <c r="X44" s="94">
        <f t="shared" si="22"/>
        <v>0</v>
      </c>
      <c r="Y44" s="94">
        <f t="shared" si="23"/>
        <v>0</v>
      </c>
      <c r="Z44" s="101" t="str">
        <f t="shared" si="24"/>
        <v>-</v>
      </c>
    </row>
    <row r="45" spans="1:26" ht="13.5" thickBot="1" x14ac:dyDescent="0.25">
      <c r="A45" s="70" t="s">
        <v>200</v>
      </c>
      <c r="B45" s="70" t="s">
        <v>6</v>
      </c>
      <c r="C45" s="70" t="s">
        <v>88</v>
      </c>
      <c r="D45" s="71" t="s">
        <v>16</v>
      </c>
      <c r="E45" s="71">
        <v>48</v>
      </c>
      <c r="F45" s="98">
        <v>4.33</v>
      </c>
      <c r="G45" s="72" t="s">
        <v>80</v>
      </c>
      <c r="H45" s="98">
        <v>4960</v>
      </c>
      <c r="I45" s="98">
        <f t="shared" si="14"/>
        <v>21476.799999999999</v>
      </c>
      <c r="J45" s="74">
        <v>21</v>
      </c>
      <c r="K45" s="75">
        <f t="shared" si="1"/>
        <v>104160</v>
      </c>
      <c r="L45" s="95">
        <f t="shared" si="25"/>
        <v>2.5914451861264589</v>
      </c>
      <c r="M45" s="95">
        <f t="shared" si="15"/>
        <v>91306.431876812756</v>
      </c>
      <c r="N45" s="71">
        <v>18</v>
      </c>
      <c r="O45" s="72">
        <f t="shared" si="16"/>
        <v>285634.84718193853</v>
      </c>
      <c r="P45" s="73">
        <f t="shared" si="17"/>
        <v>80933.85575835382</v>
      </c>
      <c r="Q45" s="74">
        <v>15</v>
      </c>
      <c r="R45" s="76">
        <f t="shared" si="18"/>
        <v>74400</v>
      </c>
      <c r="S45" s="76">
        <v>-1655.9899999999907</v>
      </c>
      <c r="T45" s="95">
        <f t="shared" si="19"/>
        <v>0.26047242041378105</v>
      </c>
      <c r="U45" s="78">
        <f t="shared" si="20"/>
        <v>0.54381969598902646</v>
      </c>
      <c r="V45" s="102">
        <f t="shared" si="21"/>
        <v>2.585436363028681</v>
      </c>
      <c r="W45" s="77"/>
      <c r="X45" s="95">
        <f t="shared" si="22"/>
        <v>0.31966138857929344</v>
      </c>
      <c r="Y45" s="95">
        <f t="shared" si="23"/>
        <v>0.6030086641545388</v>
      </c>
      <c r="Z45" s="102">
        <f t="shared" si="24"/>
        <v>2.1196909619752082</v>
      </c>
    </row>
    <row r="46" spans="1:26" ht="13.5" thickBot="1" x14ac:dyDescent="0.25">
      <c r="A46" s="61" t="s">
        <v>201</v>
      </c>
      <c r="B46" s="61" t="s">
        <v>78</v>
      </c>
      <c r="C46" s="61" t="s">
        <v>70</v>
      </c>
      <c r="D46" s="62" t="s">
        <v>71</v>
      </c>
      <c r="E46" s="62">
        <v>0</v>
      </c>
      <c r="F46" s="97">
        <v>535</v>
      </c>
      <c r="G46" s="63" t="s">
        <v>27</v>
      </c>
      <c r="H46" s="97">
        <v>0</v>
      </c>
      <c r="I46" s="97">
        <f t="shared" si="14"/>
        <v>0</v>
      </c>
      <c r="J46" s="65">
        <v>2600</v>
      </c>
      <c r="K46" s="66">
        <f t="shared" si="1"/>
        <v>0</v>
      </c>
      <c r="L46" s="94">
        <f t="shared" si="25"/>
        <v>234.0199377243766</v>
      </c>
      <c r="M46" s="94">
        <f t="shared" si="15"/>
        <v>0</v>
      </c>
      <c r="N46" s="62">
        <v>12</v>
      </c>
      <c r="O46" s="63">
        <f t="shared" si="16"/>
        <v>0</v>
      </c>
      <c r="P46" s="64">
        <f t="shared" si="17"/>
        <v>0</v>
      </c>
      <c r="Q46" s="65">
        <v>850</v>
      </c>
      <c r="R46" s="67">
        <f t="shared" si="18"/>
        <v>0</v>
      </c>
      <c r="S46" s="67">
        <v>0</v>
      </c>
      <c r="T46" s="94">
        <f t="shared" si="19"/>
        <v>0</v>
      </c>
      <c r="U46" s="69">
        <f t="shared" si="20"/>
        <v>0</v>
      </c>
      <c r="V46" s="101" t="str">
        <f t="shared" si="21"/>
        <v>-</v>
      </c>
      <c r="W46" s="68"/>
      <c r="X46" s="94">
        <f t="shared" si="22"/>
        <v>0</v>
      </c>
      <c r="Y46" s="94">
        <f t="shared" si="23"/>
        <v>0</v>
      </c>
      <c r="Z46" s="101" t="str">
        <f t="shared" si="24"/>
        <v>-</v>
      </c>
    </row>
    <row r="47" spans="1:26" ht="13.5" thickBot="1" x14ac:dyDescent="0.25">
      <c r="A47" s="70" t="s">
        <v>202</v>
      </c>
      <c r="B47" s="70" t="s">
        <v>69</v>
      </c>
      <c r="C47" s="70" t="s">
        <v>70</v>
      </c>
      <c r="D47" s="71" t="s">
        <v>71</v>
      </c>
      <c r="E47" s="71">
        <v>0</v>
      </c>
      <c r="F47" s="98">
        <v>912</v>
      </c>
      <c r="G47" s="72" t="s">
        <v>27</v>
      </c>
      <c r="H47" s="98">
        <v>0</v>
      </c>
      <c r="I47" s="98">
        <f t="shared" si="14"/>
        <v>0</v>
      </c>
      <c r="J47" s="74">
        <v>3200</v>
      </c>
      <c r="K47" s="75">
        <f t="shared" si="1"/>
        <v>0</v>
      </c>
      <c r="L47" s="95">
        <f t="shared" si="25"/>
        <v>398.92744524230176</v>
      </c>
      <c r="M47" s="95">
        <f t="shared" si="15"/>
        <v>0</v>
      </c>
      <c r="N47" s="71">
        <v>12</v>
      </c>
      <c r="O47" s="72">
        <f t="shared" si="16"/>
        <v>0</v>
      </c>
      <c r="P47" s="73">
        <f t="shared" si="17"/>
        <v>0</v>
      </c>
      <c r="Q47" s="74">
        <v>1200</v>
      </c>
      <c r="R47" s="76">
        <f t="shared" si="18"/>
        <v>0</v>
      </c>
      <c r="S47" s="76">
        <v>0</v>
      </c>
      <c r="T47" s="95">
        <f t="shared" si="19"/>
        <v>0</v>
      </c>
      <c r="U47" s="78">
        <f t="shared" si="20"/>
        <v>0</v>
      </c>
      <c r="V47" s="102" t="str">
        <f t="shared" si="21"/>
        <v>-</v>
      </c>
      <c r="W47" s="77"/>
      <c r="X47" s="95">
        <f t="shared" si="22"/>
        <v>0</v>
      </c>
      <c r="Y47" s="95">
        <f t="shared" si="23"/>
        <v>0</v>
      </c>
      <c r="Z47" s="102" t="str">
        <f t="shared" si="24"/>
        <v>-</v>
      </c>
    </row>
    <row r="48" spans="1:26" ht="13.5" thickBot="1" x14ac:dyDescent="0.25">
      <c r="A48" s="61" t="s">
        <v>203</v>
      </c>
      <c r="B48" s="61" t="s">
        <v>83</v>
      </c>
      <c r="C48" s="61" t="s">
        <v>11</v>
      </c>
      <c r="D48" s="62" t="s">
        <v>89</v>
      </c>
      <c r="E48" s="62">
        <v>0</v>
      </c>
      <c r="F48" s="97">
        <v>22</v>
      </c>
      <c r="G48" s="63" t="s">
        <v>84</v>
      </c>
      <c r="H48" s="97">
        <v>0</v>
      </c>
      <c r="I48" s="97">
        <f t="shared" si="14"/>
        <v>0</v>
      </c>
      <c r="J48" s="65">
        <v>137.9</v>
      </c>
      <c r="K48" s="66">
        <f t="shared" si="1"/>
        <v>0</v>
      </c>
      <c r="L48" s="94">
        <f t="shared" si="25"/>
        <v>13.166696095792631</v>
      </c>
      <c r="M48" s="94">
        <f t="shared" si="15"/>
        <v>0</v>
      </c>
      <c r="N48" s="62">
        <v>18</v>
      </c>
      <c r="O48" s="63">
        <f t="shared" si="16"/>
        <v>0</v>
      </c>
      <c r="P48" s="64">
        <f t="shared" si="17"/>
        <v>0</v>
      </c>
      <c r="Q48" s="65">
        <v>120</v>
      </c>
      <c r="R48" s="67">
        <f t="shared" si="18"/>
        <v>0</v>
      </c>
      <c r="S48" s="67">
        <v>0</v>
      </c>
      <c r="T48" s="94">
        <f t="shared" si="19"/>
        <v>0</v>
      </c>
      <c r="U48" s="69">
        <f t="shared" si="20"/>
        <v>0</v>
      </c>
      <c r="V48" s="101" t="str">
        <f t="shared" si="21"/>
        <v>-</v>
      </c>
      <c r="W48" s="68"/>
      <c r="X48" s="94">
        <f t="shared" si="22"/>
        <v>0</v>
      </c>
      <c r="Y48" s="94">
        <f t="shared" si="23"/>
        <v>0</v>
      </c>
      <c r="Z48" s="101" t="str">
        <f t="shared" si="24"/>
        <v>-</v>
      </c>
    </row>
    <row r="49" spans="1:26" ht="13.5" thickBot="1" x14ac:dyDescent="0.25">
      <c r="A49" s="70" t="s">
        <v>204</v>
      </c>
      <c r="B49" s="70" t="s">
        <v>91</v>
      </c>
      <c r="C49" s="70" t="s">
        <v>11</v>
      </c>
      <c r="D49" s="71" t="s">
        <v>92</v>
      </c>
      <c r="E49" s="71">
        <v>22</v>
      </c>
      <c r="F49" s="98">
        <v>38</v>
      </c>
      <c r="G49" s="72" t="s">
        <v>84</v>
      </c>
      <c r="H49" s="98">
        <v>150.5</v>
      </c>
      <c r="I49" s="98">
        <f t="shared" si="14"/>
        <v>5719</v>
      </c>
      <c r="J49" s="74">
        <v>52.8</v>
      </c>
      <c r="K49" s="75">
        <f t="shared" si="1"/>
        <v>7946.4</v>
      </c>
      <c r="L49" s="95">
        <f t="shared" si="25"/>
        <v>24.524592364959751</v>
      </c>
      <c r="M49" s="95">
        <f t="shared" si="15"/>
        <v>4255.4488490735566</v>
      </c>
      <c r="N49" s="71">
        <v>20</v>
      </c>
      <c r="O49" s="72">
        <f t="shared" si="16"/>
        <v>82021.136687254271</v>
      </c>
      <c r="P49" s="73">
        <f t="shared" si="17"/>
        <v>21551.661377953213</v>
      </c>
      <c r="Q49" s="74">
        <v>150</v>
      </c>
      <c r="R49" s="76">
        <f t="shared" si="18"/>
        <v>22575</v>
      </c>
      <c r="S49" s="76">
        <v>0</v>
      </c>
      <c r="T49" s="95">
        <f t="shared" si="19"/>
        <v>0.27523393251764161</v>
      </c>
      <c r="U49" s="78">
        <f t="shared" si="20"/>
        <v>0.53799134174655139</v>
      </c>
      <c r="V49" s="102">
        <f t="shared" si="21"/>
        <v>2.7398383848779657</v>
      </c>
      <c r="W49" s="77"/>
      <c r="X49" s="95">
        <f t="shared" si="22"/>
        <v>5.1882344246209827E-2</v>
      </c>
      <c r="Y49" s="95">
        <f t="shared" si="23"/>
        <v>0.31463975347511958</v>
      </c>
      <c r="Z49" s="102">
        <f t="shared" si="24"/>
        <v>4.2588657853050451</v>
      </c>
    </row>
    <row r="50" spans="1:26" ht="13.5" thickBot="1" x14ac:dyDescent="0.25">
      <c r="A50" s="61" t="s">
        <v>205</v>
      </c>
      <c r="B50" s="61" t="s">
        <v>85</v>
      </c>
      <c r="C50" s="61" t="s">
        <v>86</v>
      </c>
      <c r="D50" s="62" t="s">
        <v>87</v>
      </c>
      <c r="E50" s="62">
        <v>38</v>
      </c>
      <c r="F50" s="97">
        <v>1.1000000000000001</v>
      </c>
      <c r="G50" s="63" t="s">
        <v>80</v>
      </c>
      <c r="H50" s="97">
        <v>5172</v>
      </c>
      <c r="I50" s="97">
        <f t="shared" si="14"/>
        <v>5689.2000000000007</v>
      </c>
      <c r="J50" s="65">
        <v>6.72</v>
      </c>
      <c r="K50" s="66">
        <f t="shared" si="1"/>
        <v>34755.839999999997</v>
      </c>
      <c r="L50" s="94">
        <f t="shared" si="25"/>
        <v>0.65833480478963158</v>
      </c>
      <c r="M50" s="94">
        <f t="shared" si="15"/>
        <v>31350.932389628026</v>
      </c>
      <c r="N50" s="62">
        <v>18</v>
      </c>
      <c r="O50" s="63">
        <f t="shared" si="16"/>
        <v>75664.613563821651</v>
      </c>
      <c r="P50" s="64">
        <f t="shared" si="17"/>
        <v>21439.36211076262</v>
      </c>
      <c r="Q50" s="65">
        <v>5</v>
      </c>
      <c r="R50" s="67">
        <f t="shared" si="18"/>
        <v>25860</v>
      </c>
      <c r="S50" s="67">
        <v>0</v>
      </c>
      <c r="T50" s="94">
        <f t="shared" si="19"/>
        <v>0.34177138799747631</v>
      </c>
      <c r="U50" s="69">
        <f t="shared" si="20"/>
        <v>0.62511866357272172</v>
      </c>
      <c r="V50" s="101">
        <f t="shared" si="21"/>
        <v>2.2491909118590354</v>
      </c>
      <c r="W50" s="68"/>
      <c r="X50" s="94">
        <f t="shared" si="22"/>
        <v>0.41434074546860822</v>
      </c>
      <c r="Y50" s="94">
        <f t="shared" si="23"/>
        <v>0.69768802104385363</v>
      </c>
      <c r="Z50" s="101">
        <f t="shared" si="24"/>
        <v>1.8320395031130656</v>
      </c>
    </row>
    <row r="51" spans="1:26" ht="13.5" thickBot="1" x14ac:dyDescent="0.25">
      <c r="A51" s="70" t="s">
        <v>206</v>
      </c>
      <c r="B51" s="70" t="s">
        <v>110</v>
      </c>
      <c r="C51" s="70" t="s">
        <v>111</v>
      </c>
      <c r="D51" s="71" t="s">
        <v>112</v>
      </c>
      <c r="E51" s="71">
        <v>17</v>
      </c>
      <c r="F51" s="98">
        <v>1.1000000000000001</v>
      </c>
      <c r="G51" s="72" t="s">
        <v>105</v>
      </c>
      <c r="H51" s="98">
        <v>784.56999999999994</v>
      </c>
      <c r="I51" s="98">
        <f t="shared" si="14"/>
        <v>863.02700000000004</v>
      </c>
      <c r="J51" s="74">
        <v>24.31</v>
      </c>
      <c r="K51" s="75">
        <f t="shared" si="1"/>
        <v>19072.896699999998</v>
      </c>
      <c r="L51" s="95">
        <f t="shared" si="25"/>
        <v>1.132510632091358</v>
      </c>
      <c r="M51" s="95">
        <f t="shared" si="15"/>
        <v>18184.362833380081</v>
      </c>
      <c r="N51" s="71">
        <v>45</v>
      </c>
      <c r="O51" s="72">
        <f t="shared" si="16"/>
        <v>19745.197035998146</v>
      </c>
      <c r="P51" s="73">
        <f t="shared" si="17"/>
        <v>3252.2583780435089</v>
      </c>
      <c r="Q51" s="74">
        <v>5</v>
      </c>
      <c r="R51" s="76">
        <f t="shared" si="18"/>
        <v>3922.8499999999995</v>
      </c>
      <c r="S51" s="76">
        <v>0</v>
      </c>
      <c r="T51" s="95">
        <f t="shared" si="19"/>
        <v>0.19867363150887363</v>
      </c>
      <c r="U51" s="78">
        <f t="shared" si="20"/>
        <v>0.3633849976256161</v>
      </c>
      <c r="V51" s="102">
        <f t="shared" si="21"/>
        <v>7.3691927887607118</v>
      </c>
      <c r="W51" s="77"/>
      <c r="X51" s="95">
        <f t="shared" si="22"/>
        <v>0.92095119639614353</v>
      </c>
      <c r="Y51" s="95">
        <f t="shared" si="23"/>
        <v>1.085662562512886</v>
      </c>
      <c r="Z51" s="102">
        <f t="shared" si="24"/>
        <v>2.2423291600161228</v>
      </c>
    </row>
    <row r="52" spans="1:26" ht="13.5" thickBot="1" x14ac:dyDescent="0.25">
      <c r="A52" s="61" t="s">
        <v>213</v>
      </c>
      <c r="B52" s="61" t="s">
        <v>41</v>
      </c>
      <c r="C52" s="61" t="s">
        <v>42</v>
      </c>
      <c r="D52" s="62" t="s">
        <v>43</v>
      </c>
      <c r="E52" s="62">
        <v>3</v>
      </c>
      <c r="F52" s="97">
        <v>0</v>
      </c>
      <c r="G52" s="63" t="s">
        <v>27</v>
      </c>
      <c r="H52" s="97">
        <v>3</v>
      </c>
      <c r="I52" s="97">
        <f t="shared" si="14"/>
        <v>0</v>
      </c>
      <c r="J52" s="65">
        <v>0</v>
      </c>
      <c r="K52" s="66">
        <v>0</v>
      </c>
      <c r="L52" s="94">
        <f t="shared" ref="L52:L58" si="26">0.1*$F52+PV($B$74,$N52,(-0.05*0.9*$F52))</f>
        <v>0</v>
      </c>
      <c r="M52" s="94">
        <f t="shared" si="15"/>
        <v>0</v>
      </c>
      <c r="N52" s="62">
        <v>0</v>
      </c>
      <c r="O52" s="63">
        <f t="shared" si="16"/>
        <v>0</v>
      </c>
      <c r="P52" s="64">
        <f t="shared" si="17"/>
        <v>0</v>
      </c>
      <c r="Q52" s="65">
        <v>500</v>
      </c>
      <c r="R52" s="67">
        <f t="shared" si="18"/>
        <v>1500</v>
      </c>
      <c r="S52" s="67">
        <v>0</v>
      </c>
      <c r="T52" s="94">
        <f t="shared" si="19"/>
        <v>0</v>
      </c>
      <c r="U52" s="69">
        <f t="shared" si="20"/>
        <v>0</v>
      </c>
      <c r="V52" s="101" t="e">
        <f t="shared" si="21"/>
        <v>#N/A</v>
      </c>
      <c r="W52" s="68"/>
      <c r="X52" s="94">
        <f t="shared" si="22"/>
        <v>0</v>
      </c>
      <c r="Y52" s="94">
        <f t="shared" si="23"/>
        <v>0</v>
      </c>
      <c r="Z52" s="101" t="str">
        <f t="shared" si="24"/>
        <v>-</v>
      </c>
    </row>
    <row r="53" spans="1:26" ht="13.5" thickBot="1" x14ac:dyDescent="0.25">
      <c r="A53" s="70" t="s">
        <v>218</v>
      </c>
      <c r="B53" s="70" t="s">
        <v>47</v>
      </c>
      <c r="C53" s="70" t="s">
        <v>48</v>
      </c>
      <c r="D53" s="71" t="s">
        <v>49</v>
      </c>
      <c r="E53" s="71">
        <v>0</v>
      </c>
      <c r="F53" s="98">
        <v>0</v>
      </c>
      <c r="G53" s="72" t="s">
        <v>27</v>
      </c>
      <c r="H53" s="98">
        <v>0</v>
      </c>
      <c r="I53" s="98">
        <f t="shared" si="14"/>
        <v>0</v>
      </c>
      <c r="J53" s="74"/>
      <c r="K53" s="75"/>
      <c r="L53" s="95">
        <f t="shared" si="26"/>
        <v>0</v>
      </c>
      <c r="M53" s="95">
        <f t="shared" si="15"/>
        <v>0</v>
      </c>
      <c r="N53" s="71">
        <v>0</v>
      </c>
      <c r="O53" s="72">
        <f t="shared" si="16"/>
        <v>0</v>
      </c>
      <c r="P53" s="73">
        <f t="shared" si="17"/>
        <v>0</v>
      </c>
      <c r="Q53" s="74">
        <v>150</v>
      </c>
      <c r="R53" s="76">
        <f t="shared" si="18"/>
        <v>0</v>
      </c>
      <c r="S53" s="76">
        <v>0</v>
      </c>
      <c r="T53" s="95">
        <f t="shared" si="19"/>
        <v>0</v>
      </c>
      <c r="U53" s="78">
        <f t="shared" si="20"/>
        <v>0</v>
      </c>
      <c r="V53" s="102" t="str">
        <f t="shared" si="21"/>
        <v>-</v>
      </c>
      <c r="W53" s="77"/>
      <c r="X53" s="95">
        <f t="shared" si="22"/>
        <v>0</v>
      </c>
      <c r="Y53" s="95">
        <f t="shared" si="23"/>
        <v>0</v>
      </c>
      <c r="Z53" s="102" t="str">
        <f t="shared" si="24"/>
        <v>-</v>
      </c>
    </row>
    <row r="54" spans="1:26" ht="13.5" thickBot="1" x14ac:dyDescent="0.25">
      <c r="A54" s="61" t="s">
        <v>210</v>
      </c>
      <c r="B54" s="61" t="s">
        <v>47</v>
      </c>
      <c r="C54" s="61" t="s">
        <v>48</v>
      </c>
      <c r="D54" s="62" t="s">
        <v>49</v>
      </c>
      <c r="E54" s="62">
        <v>7</v>
      </c>
      <c r="F54" s="97">
        <v>0</v>
      </c>
      <c r="G54" s="63" t="s">
        <v>27</v>
      </c>
      <c r="H54" s="97">
        <v>7</v>
      </c>
      <c r="I54" s="97">
        <f t="shared" si="14"/>
        <v>0</v>
      </c>
      <c r="J54" s="65">
        <v>0</v>
      </c>
      <c r="K54" s="66">
        <v>0</v>
      </c>
      <c r="L54" s="94">
        <f t="shared" si="26"/>
        <v>0</v>
      </c>
      <c r="M54" s="94">
        <f t="shared" si="15"/>
        <v>0</v>
      </c>
      <c r="N54" s="62">
        <v>0</v>
      </c>
      <c r="O54" s="63">
        <f t="shared" si="16"/>
        <v>0</v>
      </c>
      <c r="P54" s="64">
        <f t="shared" si="17"/>
        <v>0</v>
      </c>
      <c r="Q54" s="65">
        <v>300</v>
      </c>
      <c r="R54" s="67">
        <f t="shared" si="18"/>
        <v>2100</v>
      </c>
      <c r="S54" s="67">
        <v>0</v>
      </c>
      <c r="T54" s="94">
        <f t="shared" si="19"/>
        <v>0</v>
      </c>
      <c r="U54" s="69">
        <f t="shared" si="20"/>
        <v>0</v>
      </c>
      <c r="V54" s="101" t="e">
        <f t="shared" si="21"/>
        <v>#N/A</v>
      </c>
      <c r="W54" s="68"/>
      <c r="X54" s="94">
        <f t="shared" si="22"/>
        <v>0</v>
      </c>
      <c r="Y54" s="94">
        <f t="shared" si="23"/>
        <v>0</v>
      </c>
      <c r="Z54" s="101" t="str">
        <f t="shared" si="24"/>
        <v>-</v>
      </c>
    </row>
    <row r="55" spans="1:26" ht="13.5" thickBot="1" x14ac:dyDescent="0.25">
      <c r="A55" s="70" t="s">
        <v>219</v>
      </c>
      <c r="B55" s="70" t="s">
        <v>44</v>
      </c>
      <c r="C55" s="70" t="s">
        <v>45</v>
      </c>
      <c r="D55" s="71" t="s">
        <v>46</v>
      </c>
      <c r="E55" s="71">
        <v>0</v>
      </c>
      <c r="F55" s="98">
        <v>0</v>
      </c>
      <c r="G55" s="72" t="s">
        <v>27</v>
      </c>
      <c r="H55" s="98">
        <v>0</v>
      </c>
      <c r="I55" s="98">
        <f t="shared" si="14"/>
        <v>0</v>
      </c>
      <c r="J55" s="74"/>
      <c r="K55" s="75"/>
      <c r="L55" s="95">
        <f t="shared" si="26"/>
        <v>0</v>
      </c>
      <c r="M55" s="95">
        <f t="shared" si="15"/>
        <v>0</v>
      </c>
      <c r="N55" s="71">
        <v>0</v>
      </c>
      <c r="O55" s="72">
        <f t="shared" si="16"/>
        <v>0</v>
      </c>
      <c r="P55" s="73">
        <f t="shared" si="17"/>
        <v>0</v>
      </c>
      <c r="Q55" s="74">
        <v>300</v>
      </c>
      <c r="R55" s="76">
        <f t="shared" si="18"/>
        <v>0</v>
      </c>
      <c r="S55" s="76">
        <v>0</v>
      </c>
      <c r="T55" s="95">
        <f t="shared" si="19"/>
        <v>0</v>
      </c>
      <c r="U55" s="78">
        <f t="shared" si="20"/>
        <v>0</v>
      </c>
      <c r="V55" s="102" t="str">
        <f t="shared" si="21"/>
        <v>-</v>
      </c>
      <c r="W55" s="77"/>
      <c r="X55" s="95">
        <f t="shared" si="22"/>
        <v>0</v>
      </c>
      <c r="Y55" s="95">
        <f t="shared" si="23"/>
        <v>0</v>
      </c>
      <c r="Z55" s="102" t="str">
        <f t="shared" si="24"/>
        <v>-</v>
      </c>
    </row>
    <row r="56" spans="1:26" ht="13.5" thickBot="1" x14ac:dyDescent="0.25">
      <c r="A56" s="61" t="s">
        <v>212</v>
      </c>
      <c r="B56" s="61" t="s">
        <v>44</v>
      </c>
      <c r="C56" s="61" t="s">
        <v>45</v>
      </c>
      <c r="D56" s="62" t="s">
        <v>46</v>
      </c>
      <c r="E56" s="62">
        <v>5</v>
      </c>
      <c r="F56" s="97">
        <v>0</v>
      </c>
      <c r="G56" s="63" t="s">
        <v>27</v>
      </c>
      <c r="H56" s="97">
        <v>5</v>
      </c>
      <c r="I56" s="97">
        <f t="shared" si="14"/>
        <v>0</v>
      </c>
      <c r="J56" s="65">
        <v>0</v>
      </c>
      <c r="K56" s="66">
        <v>0</v>
      </c>
      <c r="L56" s="94">
        <f t="shared" si="26"/>
        <v>0</v>
      </c>
      <c r="M56" s="94">
        <f t="shared" si="15"/>
        <v>0</v>
      </c>
      <c r="N56" s="62">
        <v>0</v>
      </c>
      <c r="O56" s="63">
        <f t="shared" si="16"/>
        <v>0</v>
      </c>
      <c r="P56" s="64">
        <f t="shared" si="17"/>
        <v>0</v>
      </c>
      <c r="Q56" s="65">
        <v>500</v>
      </c>
      <c r="R56" s="67">
        <f t="shared" si="18"/>
        <v>2500</v>
      </c>
      <c r="S56" s="67">
        <v>0</v>
      </c>
      <c r="T56" s="94">
        <f t="shared" si="19"/>
        <v>0</v>
      </c>
      <c r="U56" s="69">
        <f t="shared" si="20"/>
        <v>0</v>
      </c>
      <c r="V56" s="101" t="e">
        <f t="shared" si="21"/>
        <v>#N/A</v>
      </c>
      <c r="W56" s="68"/>
      <c r="X56" s="94">
        <f t="shared" si="22"/>
        <v>0</v>
      </c>
      <c r="Y56" s="94">
        <f t="shared" si="23"/>
        <v>0</v>
      </c>
      <c r="Z56" s="101" t="str">
        <f t="shared" si="24"/>
        <v>-</v>
      </c>
    </row>
    <row r="57" spans="1:26" ht="13.5" thickBot="1" x14ac:dyDescent="0.25">
      <c r="A57" s="70" t="s">
        <v>211</v>
      </c>
      <c r="B57" s="70" t="s">
        <v>207</v>
      </c>
      <c r="C57" s="70" t="s">
        <v>208</v>
      </c>
      <c r="D57" s="71" t="s">
        <v>209</v>
      </c>
      <c r="E57" s="71">
        <v>17</v>
      </c>
      <c r="F57" s="98">
        <v>0</v>
      </c>
      <c r="G57" s="72" t="s">
        <v>27</v>
      </c>
      <c r="H57" s="98">
        <v>82775.400000000009</v>
      </c>
      <c r="I57" s="98">
        <f t="shared" si="14"/>
        <v>0</v>
      </c>
      <c r="J57" s="74"/>
      <c r="K57" s="75"/>
      <c r="L57" s="95">
        <f t="shared" si="26"/>
        <v>0</v>
      </c>
      <c r="M57" s="95">
        <f t="shared" si="15"/>
        <v>0</v>
      </c>
      <c r="N57" s="71">
        <v>0</v>
      </c>
      <c r="O57" s="72">
        <f t="shared" si="16"/>
        <v>0</v>
      </c>
      <c r="P57" s="73">
        <f t="shared" si="17"/>
        <v>0</v>
      </c>
      <c r="Q57" s="74">
        <v>0.1</v>
      </c>
      <c r="R57" s="76">
        <f t="shared" si="18"/>
        <v>8277.5400000000009</v>
      </c>
      <c r="S57" s="76">
        <v>0</v>
      </c>
      <c r="T57" s="95">
        <f t="shared" si="19"/>
        <v>0</v>
      </c>
      <c r="U57" s="78">
        <f t="shared" si="20"/>
        <v>0</v>
      </c>
      <c r="V57" s="102" t="e">
        <f t="shared" si="21"/>
        <v>#N/A</v>
      </c>
      <c r="W57" s="77"/>
      <c r="X57" s="95">
        <f t="shared" si="22"/>
        <v>0</v>
      </c>
      <c r="Y57" s="95">
        <f t="shared" si="23"/>
        <v>0</v>
      </c>
      <c r="Z57" s="102" t="str">
        <f t="shared" si="24"/>
        <v>-</v>
      </c>
    </row>
    <row r="58" spans="1:26" ht="13.5" thickBot="1" x14ac:dyDescent="0.25">
      <c r="A58" s="61" t="s">
        <v>215</v>
      </c>
      <c r="B58" s="61" t="s">
        <v>214</v>
      </c>
      <c r="C58" s="61" t="s">
        <v>216</v>
      </c>
      <c r="D58" s="62" t="s">
        <v>217</v>
      </c>
      <c r="E58" s="62">
        <v>1</v>
      </c>
      <c r="F58" s="97">
        <v>0</v>
      </c>
      <c r="G58" s="63" t="s">
        <v>27</v>
      </c>
      <c r="H58" s="97">
        <v>2</v>
      </c>
      <c r="I58" s="97">
        <f t="shared" si="14"/>
        <v>0</v>
      </c>
      <c r="J58" s="65"/>
      <c r="K58" s="66"/>
      <c r="L58" s="94">
        <f t="shared" si="26"/>
        <v>0</v>
      </c>
      <c r="M58" s="94">
        <f t="shared" si="15"/>
        <v>0</v>
      </c>
      <c r="N58" s="62">
        <v>0</v>
      </c>
      <c r="O58" s="63">
        <f t="shared" si="16"/>
        <v>0</v>
      </c>
      <c r="P58" s="64">
        <f t="shared" si="17"/>
        <v>0</v>
      </c>
      <c r="Q58" s="65">
        <v>100</v>
      </c>
      <c r="R58" s="67">
        <f t="shared" si="18"/>
        <v>200</v>
      </c>
      <c r="S58" s="67">
        <v>0</v>
      </c>
      <c r="T58" s="94">
        <f t="shared" si="19"/>
        <v>0</v>
      </c>
      <c r="U58" s="69">
        <f t="shared" si="20"/>
        <v>0</v>
      </c>
      <c r="V58" s="101" t="e">
        <f t="shared" si="21"/>
        <v>#N/A</v>
      </c>
      <c r="W58" s="68"/>
      <c r="X58" s="94">
        <f t="shared" si="22"/>
        <v>0</v>
      </c>
      <c r="Y58" s="94">
        <f t="shared" si="23"/>
        <v>0</v>
      </c>
      <c r="Z58" s="101" t="str">
        <f t="shared" si="24"/>
        <v>-</v>
      </c>
    </row>
    <row r="59" spans="1:26" ht="14.25" customHeight="1" thickBot="1" x14ac:dyDescent="0.25">
      <c r="A59" s="60" t="s">
        <v>32</v>
      </c>
      <c r="B59" s="60"/>
      <c r="C59" s="60"/>
      <c r="D59" s="60"/>
      <c r="E59" s="60"/>
      <c r="F59" s="99"/>
      <c r="G59" s="60"/>
      <c r="H59" s="99"/>
      <c r="I59" s="99"/>
      <c r="J59" s="60"/>
      <c r="K59" s="60"/>
      <c r="L59" s="96"/>
      <c r="M59" s="96">
        <f t="shared" si="15"/>
        <v>0</v>
      </c>
      <c r="N59" s="60"/>
      <c r="O59" s="60"/>
      <c r="P59" s="60"/>
      <c r="Q59" s="60"/>
      <c r="R59" s="60"/>
      <c r="S59" s="60"/>
      <c r="T59" s="96"/>
      <c r="U59" s="60"/>
      <c r="V59" s="103"/>
      <c r="W59" s="60"/>
      <c r="X59" s="96"/>
      <c r="Y59" s="96"/>
      <c r="Z59" s="103"/>
    </row>
    <row r="60" spans="1:26" ht="13.5" thickBot="1" x14ac:dyDescent="0.25">
      <c r="A60" s="61"/>
      <c r="B60" s="61" t="s">
        <v>253</v>
      </c>
      <c r="C60" s="61"/>
      <c r="D60" s="62" t="s">
        <v>152</v>
      </c>
      <c r="E60" s="62">
        <v>1</v>
      </c>
      <c r="F60" s="97">
        <v>6584</v>
      </c>
      <c r="G60" s="63" t="s">
        <v>27</v>
      </c>
      <c r="H60" s="97">
        <v>1</v>
      </c>
      <c r="I60" s="97">
        <f t="shared" ref="I60:I68" si="27">H60*F60</f>
        <v>6584</v>
      </c>
      <c r="J60" s="65">
        <v>30000</v>
      </c>
      <c r="K60" s="66">
        <f t="shared" ref="K60:K68" si="28">H60*J60</f>
        <v>30000</v>
      </c>
      <c r="L60" s="94">
        <f t="shared" ref="L60:L68" si="29">PV($B$74,$N60,(-0.05*0.9*$F60))</f>
        <v>2879.9762055650381</v>
      </c>
      <c r="M60" s="94">
        <f t="shared" si="15"/>
        <v>27120.023794434961</v>
      </c>
      <c r="N60" s="62">
        <v>12</v>
      </c>
      <c r="O60" s="63">
        <f t="shared" ref="O60:O68" si="30">PV($B$74,N60,-I60)</f>
        <v>63999.471234778619</v>
      </c>
      <c r="P60" s="64">
        <f t="shared" ref="P60:P68" si="31">$B$76*I60/SUM($I$60:$I$69)</f>
        <v>7746.1564001176293</v>
      </c>
      <c r="Q60" s="65">
        <v>8428</v>
      </c>
      <c r="R60" s="67">
        <v>8428</v>
      </c>
      <c r="S60" s="67"/>
      <c r="T60" s="94">
        <f t="shared" ref="T60:T68" si="32">IF(ISERROR(R60/O60),0,R60/O60)</f>
        <v>0.13168858800539671</v>
      </c>
      <c r="U60" s="69">
        <f t="shared" ref="U60:U68" si="33">IF(O60=0,0,(R60+P60)/O60)</f>
        <v>0.25272328174061948</v>
      </c>
      <c r="V60" s="101">
        <f t="shared" ref="V60:V68" si="34">IF($R60=0,"-",(VLOOKUP($N60,AC,6)*$I60)/($R60+$P60))</f>
        <v>4.8426160888288452</v>
      </c>
      <c r="W60" s="68"/>
      <c r="X60" s="94">
        <f t="shared" ref="X60:X68" si="35">IF(ISERROR((M60)/O60),0,(M60)/O60)</f>
        <v>0.42375387282414589</v>
      </c>
      <c r="Y60" s="94">
        <f t="shared" ref="Y60:Y68" si="36">IF(O60=0,0,((M60)+P60)/O60)</f>
        <v>0.54478856655936858</v>
      </c>
      <c r="Z60" s="101">
        <f t="shared" ref="Z60:Z68" si="37">(VLOOKUP($N60,AC,4)*$I60)/($M60+$P60)</f>
        <v>2.0422298672808812</v>
      </c>
    </row>
    <row r="61" spans="1:26" ht="13.5" thickBot="1" x14ac:dyDescent="0.25">
      <c r="A61" s="70"/>
      <c r="B61" s="70" t="s">
        <v>250</v>
      </c>
      <c r="C61" s="70"/>
      <c r="D61" s="71" t="s">
        <v>153</v>
      </c>
      <c r="E61" s="71">
        <v>1</v>
      </c>
      <c r="F61" s="98">
        <v>1470</v>
      </c>
      <c r="G61" s="72" t="s">
        <v>27</v>
      </c>
      <c r="H61" s="98">
        <v>1</v>
      </c>
      <c r="I61" s="98">
        <f t="shared" si="27"/>
        <v>1470</v>
      </c>
      <c r="J61" s="74">
        <v>30000</v>
      </c>
      <c r="K61" s="75">
        <f t="shared" si="28"/>
        <v>30000</v>
      </c>
      <c r="L61" s="95">
        <f t="shared" si="29"/>
        <v>767.32358033032494</v>
      </c>
      <c r="M61" s="95">
        <f t="shared" si="15"/>
        <v>29232.676419669675</v>
      </c>
      <c r="N61" s="71">
        <v>15</v>
      </c>
      <c r="O61" s="72">
        <f t="shared" si="30"/>
        <v>17051.635118451664</v>
      </c>
      <c r="P61" s="73">
        <f t="shared" si="31"/>
        <v>1729.4729508160563</v>
      </c>
      <c r="Q61" s="74">
        <v>3669</v>
      </c>
      <c r="R61" s="76">
        <v>3669</v>
      </c>
      <c r="S61" s="76"/>
      <c r="T61" s="95">
        <f t="shared" si="32"/>
        <v>0.21516998073866569</v>
      </c>
      <c r="U61" s="78">
        <f t="shared" si="33"/>
        <v>0.31659561756481291</v>
      </c>
      <c r="V61" s="102">
        <f t="shared" si="34"/>
        <v>4.1427431873117389</v>
      </c>
      <c r="W61" s="77"/>
      <c r="X61" s="95">
        <f t="shared" si="35"/>
        <v>1.714362066546735</v>
      </c>
      <c r="Y61" s="95">
        <f t="shared" si="36"/>
        <v>1.8157877033728822</v>
      </c>
      <c r="Z61" s="102">
        <f t="shared" si="37"/>
        <v>0.65665182382033827</v>
      </c>
    </row>
    <row r="62" spans="1:26" ht="13.5" thickBot="1" x14ac:dyDescent="0.25">
      <c r="A62" s="61"/>
      <c r="B62" s="61" t="s">
        <v>251</v>
      </c>
      <c r="C62" s="61"/>
      <c r="D62" s="62" t="s">
        <v>154</v>
      </c>
      <c r="E62" s="62">
        <v>1</v>
      </c>
      <c r="F62" s="97">
        <v>2695</v>
      </c>
      <c r="G62" s="63" t="s">
        <v>27</v>
      </c>
      <c r="H62" s="97">
        <v>1</v>
      </c>
      <c r="I62" s="97">
        <f t="shared" si="27"/>
        <v>2695</v>
      </c>
      <c r="J62" s="65">
        <v>55000</v>
      </c>
      <c r="K62" s="66">
        <f t="shared" si="28"/>
        <v>55000</v>
      </c>
      <c r="L62" s="94">
        <f t="shared" si="29"/>
        <v>1406.7598972722626</v>
      </c>
      <c r="M62" s="94">
        <f t="shared" si="15"/>
        <v>53593.240102727737</v>
      </c>
      <c r="N62" s="62">
        <v>15</v>
      </c>
      <c r="O62" s="63">
        <f t="shared" si="30"/>
        <v>31261.331050494719</v>
      </c>
      <c r="P62" s="64">
        <f t="shared" si="31"/>
        <v>3170.7004098294369</v>
      </c>
      <c r="Q62" s="65">
        <v>6727</v>
      </c>
      <c r="R62" s="67">
        <v>6727</v>
      </c>
      <c r="S62" s="67"/>
      <c r="T62" s="94">
        <f t="shared" si="32"/>
        <v>0.21518597493927066</v>
      </c>
      <c r="U62" s="69">
        <f t="shared" si="33"/>
        <v>0.31661161176541786</v>
      </c>
      <c r="V62" s="101">
        <f t="shared" si="34"/>
        <v>4.1425339092463407</v>
      </c>
      <c r="W62" s="68"/>
      <c r="X62" s="94">
        <f t="shared" si="35"/>
        <v>1.714362066546735</v>
      </c>
      <c r="Y62" s="94">
        <f t="shared" si="36"/>
        <v>1.815787703372882</v>
      </c>
      <c r="Z62" s="101">
        <f t="shared" si="37"/>
        <v>0.65665182382033838</v>
      </c>
    </row>
    <row r="63" spans="1:26" ht="13.5" thickBot="1" x14ac:dyDescent="0.25">
      <c r="A63" s="70"/>
      <c r="B63" s="70" t="s">
        <v>254</v>
      </c>
      <c r="C63" s="70"/>
      <c r="D63" s="71" t="s">
        <v>155</v>
      </c>
      <c r="E63" s="71">
        <v>1</v>
      </c>
      <c r="F63" s="98">
        <v>7945</v>
      </c>
      <c r="G63" s="72" t="s">
        <v>27</v>
      </c>
      <c r="H63" s="98">
        <v>1</v>
      </c>
      <c r="I63" s="98">
        <f t="shared" si="27"/>
        <v>7945</v>
      </c>
      <c r="J63" s="74">
        <v>60000</v>
      </c>
      <c r="K63" s="75">
        <f t="shared" si="28"/>
        <v>60000</v>
      </c>
      <c r="L63" s="95">
        <f t="shared" si="29"/>
        <v>4147.2012555948513</v>
      </c>
      <c r="M63" s="95">
        <f t="shared" si="15"/>
        <v>55852.798744405147</v>
      </c>
      <c r="N63" s="71">
        <v>15</v>
      </c>
      <c r="O63" s="72">
        <f t="shared" si="30"/>
        <v>92160.027902107802</v>
      </c>
      <c r="P63" s="73">
        <f t="shared" si="31"/>
        <v>9347.3895198867813</v>
      </c>
      <c r="Q63" s="74">
        <v>19831</v>
      </c>
      <c r="R63" s="76">
        <v>19831</v>
      </c>
      <c r="S63" s="76"/>
      <c r="T63" s="95">
        <f t="shared" si="32"/>
        <v>0.21518005638045648</v>
      </c>
      <c r="U63" s="78">
        <f t="shared" si="33"/>
        <v>0.31660569320660376</v>
      </c>
      <c r="V63" s="102">
        <f t="shared" si="34"/>
        <v>4.1426113488853229</v>
      </c>
      <c r="W63" s="77"/>
      <c r="X63" s="95">
        <f t="shared" si="35"/>
        <v>0.60604146955914417</v>
      </c>
      <c r="Y63" s="95">
        <f t="shared" si="36"/>
        <v>0.70746710638529142</v>
      </c>
      <c r="Z63" s="102">
        <f t="shared" si="37"/>
        <v>1.6853650103712241</v>
      </c>
    </row>
    <row r="64" spans="1:26" ht="13.5" thickBot="1" x14ac:dyDescent="0.25">
      <c r="A64" s="61"/>
      <c r="B64" s="61" t="s">
        <v>255</v>
      </c>
      <c r="C64" s="61"/>
      <c r="D64" s="62" t="s">
        <v>156</v>
      </c>
      <c r="E64" s="62">
        <v>1</v>
      </c>
      <c r="F64" s="97">
        <v>7945</v>
      </c>
      <c r="G64" s="63" t="s">
        <v>27</v>
      </c>
      <c r="H64" s="97">
        <v>1</v>
      </c>
      <c r="I64" s="97">
        <f t="shared" si="27"/>
        <v>7945</v>
      </c>
      <c r="J64" s="65">
        <v>60000</v>
      </c>
      <c r="K64" s="66">
        <f t="shared" si="28"/>
        <v>60000</v>
      </c>
      <c r="L64" s="94">
        <f t="shared" si="29"/>
        <v>4147.2012555948513</v>
      </c>
      <c r="M64" s="94">
        <f t="shared" si="15"/>
        <v>55852.798744405147</v>
      </c>
      <c r="N64" s="62">
        <v>15</v>
      </c>
      <c r="O64" s="63">
        <f t="shared" si="30"/>
        <v>92160.027902107802</v>
      </c>
      <c r="P64" s="64">
        <f t="shared" si="31"/>
        <v>9347.3895198867813</v>
      </c>
      <c r="Q64" s="65">
        <v>19831</v>
      </c>
      <c r="R64" s="67">
        <v>19831</v>
      </c>
      <c r="S64" s="67"/>
      <c r="T64" s="94">
        <f t="shared" si="32"/>
        <v>0.21518005638045648</v>
      </c>
      <c r="U64" s="69">
        <f t="shared" si="33"/>
        <v>0.31660569320660376</v>
      </c>
      <c r="V64" s="101">
        <f t="shared" si="34"/>
        <v>4.1426113488853229</v>
      </c>
      <c r="W64" s="68"/>
      <c r="X64" s="94">
        <f t="shared" si="35"/>
        <v>0.60604146955914417</v>
      </c>
      <c r="Y64" s="94">
        <f t="shared" si="36"/>
        <v>0.70746710638529142</v>
      </c>
      <c r="Z64" s="101">
        <f t="shared" si="37"/>
        <v>1.6853650103712241</v>
      </c>
    </row>
    <row r="65" spans="1:26" ht="13.5" thickBot="1" x14ac:dyDescent="0.25">
      <c r="A65" s="70"/>
      <c r="B65" s="70" t="s">
        <v>256</v>
      </c>
      <c r="C65" s="70"/>
      <c r="D65" s="71" t="s">
        <v>157</v>
      </c>
      <c r="E65" s="71">
        <v>1</v>
      </c>
      <c r="F65" s="98">
        <v>510000</v>
      </c>
      <c r="G65" s="72" t="s">
        <v>27</v>
      </c>
      <c r="H65" s="98">
        <v>1</v>
      </c>
      <c r="I65" s="98">
        <f t="shared" si="27"/>
        <v>510000</v>
      </c>
      <c r="J65" s="74">
        <v>685000</v>
      </c>
      <c r="K65" s="75">
        <f t="shared" si="28"/>
        <v>685000</v>
      </c>
      <c r="L65" s="95">
        <f t="shared" si="29"/>
        <v>266214.30337990867</v>
      </c>
      <c r="M65" s="95">
        <f t="shared" si="15"/>
        <v>418785.69662009133</v>
      </c>
      <c r="N65" s="71">
        <v>15</v>
      </c>
      <c r="O65" s="72">
        <f t="shared" si="30"/>
        <v>5915873.4084424134</v>
      </c>
      <c r="P65" s="73">
        <f t="shared" si="31"/>
        <v>600021.22783414205</v>
      </c>
      <c r="Q65" s="74">
        <v>685000</v>
      </c>
      <c r="R65" s="76">
        <v>685000</v>
      </c>
      <c r="S65" s="76"/>
      <c r="T65" s="95">
        <f t="shared" si="32"/>
        <v>0.11579017208557091</v>
      </c>
      <c r="U65" s="78">
        <f t="shared" si="33"/>
        <v>0.21721580891171816</v>
      </c>
      <c r="V65" s="102">
        <f t="shared" si="34"/>
        <v>6.0381163984820168</v>
      </c>
      <c r="W65" s="77"/>
      <c r="X65" s="95">
        <f t="shared" si="35"/>
        <v>7.079017208557091E-2</v>
      </c>
      <c r="Y65" s="95">
        <f t="shared" si="36"/>
        <v>0.17221580891171814</v>
      </c>
      <c r="Z65" s="102">
        <f t="shared" si="37"/>
        <v>6.9235241214212122</v>
      </c>
    </row>
    <row r="66" spans="1:26" ht="13.5" thickBot="1" x14ac:dyDescent="0.25">
      <c r="A66" s="61"/>
      <c r="B66" s="61" t="s">
        <v>252</v>
      </c>
      <c r="C66" s="61"/>
      <c r="D66" s="62" t="s">
        <v>158</v>
      </c>
      <c r="E66" s="62">
        <v>1</v>
      </c>
      <c r="F66" s="97">
        <v>5968</v>
      </c>
      <c r="G66" s="63" t="s">
        <v>27</v>
      </c>
      <c r="H66" s="97">
        <v>1</v>
      </c>
      <c r="I66" s="97">
        <f t="shared" si="27"/>
        <v>5968</v>
      </c>
      <c r="J66" s="65">
        <v>37500</v>
      </c>
      <c r="K66" s="66">
        <f t="shared" si="28"/>
        <v>37500</v>
      </c>
      <c r="L66" s="94">
        <f t="shared" si="29"/>
        <v>3115.2293383750884</v>
      </c>
      <c r="M66" s="94">
        <f t="shared" si="15"/>
        <v>34384.770661624912</v>
      </c>
      <c r="N66" s="62">
        <v>15</v>
      </c>
      <c r="O66" s="63">
        <f t="shared" si="30"/>
        <v>69227.318630557507</v>
      </c>
      <c r="P66" s="64">
        <f t="shared" si="31"/>
        <v>7021.4248778709007</v>
      </c>
      <c r="Q66" s="65">
        <v>13703</v>
      </c>
      <c r="R66" s="67">
        <v>13703</v>
      </c>
      <c r="S66" s="67"/>
      <c r="T66" s="94">
        <f t="shared" si="32"/>
        <v>0.19794208805238028</v>
      </c>
      <c r="U66" s="69">
        <f t="shared" si="33"/>
        <v>0.29936772487852747</v>
      </c>
      <c r="V66" s="101">
        <f t="shared" si="34"/>
        <v>4.3811480958128346</v>
      </c>
      <c r="W66" s="68"/>
      <c r="X66" s="94">
        <f t="shared" si="35"/>
        <v>0.4966936657640123</v>
      </c>
      <c r="Y66" s="94">
        <f t="shared" si="36"/>
        <v>0.59811930259015955</v>
      </c>
      <c r="Z66" s="101">
        <f t="shared" si="37"/>
        <v>1.9934824071500605</v>
      </c>
    </row>
    <row r="67" spans="1:26" ht="13.5" thickBot="1" x14ac:dyDescent="0.25">
      <c r="A67" s="70"/>
      <c r="B67" s="70" t="s">
        <v>257</v>
      </c>
      <c r="C67" s="70"/>
      <c r="D67" s="71" t="s">
        <v>159</v>
      </c>
      <c r="E67" s="71">
        <v>1</v>
      </c>
      <c r="F67" s="98">
        <v>848</v>
      </c>
      <c r="G67" s="72" t="s">
        <v>27</v>
      </c>
      <c r="H67" s="98">
        <v>1</v>
      </c>
      <c r="I67" s="98">
        <f t="shared" si="27"/>
        <v>848</v>
      </c>
      <c r="J67" s="74">
        <v>14300</v>
      </c>
      <c r="K67" s="75">
        <f t="shared" si="28"/>
        <v>14300</v>
      </c>
      <c r="L67" s="95">
        <f t="shared" si="29"/>
        <v>547.28564014436495</v>
      </c>
      <c r="M67" s="95">
        <f t="shared" si="15"/>
        <v>13752.714359855636</v>
      </c>
      <c r="N67" s="71">
        <v>20</v>
      </c>
      <c r="O67" s="72">
        <f t="shared" si="30"/>
        <v>12161.903114319221</v>
      </c>
      <c r="P67" s="73">
        <f t="shared" si="31"/>
        <v>997.68235530069103</v>
      </c>
      <c r="Q67" s="74">
        <v>2117</v>
      </c>
      <c r="R67" s="76">
        <v>2117</v>
      </c>
      <c r="S67" s="76"/>
      <c r="T67" s="95">
        <f t="shared" si="32"/>
        <v>0.17406815200718709</v>
      </c>
      <c r="U67" s="78">
        <f t="shared" si="33"/>
        <v>0.25610155960159858</v>
      </c>
      <c r="V67" s="102">
        <f t="shared" si="34"/>
        <v>5.7555656089803851</v>
      </c>
      <c r="W67" s="77"/>
      <c r="X67" s="95">
        <f t="shared" si="35"/>
        <v>1.1308028217774093</v>
      </c>
      <c r="Y67" s="95">
        <f t="shared" si="36"/>
        <v>1.2128362293718207</v>
      </c>
      <c r="Z67" s="102">
        <f t="shared" si="37"/>
        <v>1.1048552544196739</v>
      </c>
    </row>
    <row r="68" spans="1:26" ht="13.5" thickBot="1" x14ac:dyDescent="0.25">
      <c r="A68" s="61"/>
      <c r="B68" s="61" t="s">
        <v>258</v>
      </c>
      <c r="C68" s="61"/>
      <c r="D68" s="62" t="s">
        <v>160</v>
      </c>
      <c r="E68" s="62">
        <v>1</v>
      </c>
      <c r="F68" s="97">
        <v>625</v>
      </c>
      <c r="G68" s="63" t="s">
        <v>27</v>
      </c>
      <c r="H68" s="97">
        <v>1</v>
      </c>
      <c r="I68" s="97">
        <f t="shared" si="27"/>
        <v>625</v>
      </c>
      <c r="J68" s="65">
        <v>10000</v>
      </c>
      <c r="K68" s="66">
        <f t="shared" si="28"/>
        <v>10000</v>
      </c>
      <c r="L68" s="94">
        <f t="shared" si="29"/>
        <v>468.61425500449218</v>
      </c>
      <c r="M68" s="94">
        <f t="shared" ref="M68" si="38">MAX(0,H68*(J68-L68))</f>
        <v>9531.3857449955085</v>
      </c>
      <c r="N68" s="62">
        <v>25</v>
      </c>
      <c r="O68" s="63">
        <f t="shared" si="30"/>
        <v>10413.650111210934</v>
      </c>
      <c r="P68" s="64">
        <f t="shared" si="31"/>
        <v>735.3201321496839</v>
      </c>
      <c r="Q68" s="65">
        <v>3230</v>
      </c>
      <c r="R68" s="67">
        <v>3230</v>
      </c>
      <c r="S68" s="67"/>
      <c r="T68" s="94">
        <f t="shared" si="32"/>
        <v>0.3101698218689628</v>
      </c>
      <c r="U68" s="69">
        <f t="shared" si="33"/>
        <v>0.38078100279946731</v>
      </c>
      <c r="V68" s="101">
        <f t="shared" si="34"/>
        <v>4.3595958108614496</v>
      </c>
      <c r="W68" s="68"/>
      <c r="X68" s="94">
        <f t="shared" si="35"/>
        <v>0.91527808628161855</v>
      </c>
      <c r="Y68" s="94">
        <f t="shared" si="36"/>
        <v>0.98588926721212311</v>
      </c>
      <c r="Z68" s="101">
        <f t="shared" si="37"/>
        <v>1.5307373388848662</v>
      </c>
    </row>
    <row r="69" spans="1:26" ht="13.5" thickBot="1" x14ac:dyDescent="0.25">
      <c r="A69" s="70"/>
      <c r="B69" s="70"/>
      <c r="C69" s="70"/>
      <c r="D69" s="71"/>
      <c r="E69" s="71"/>
      <c r="F69" s="71"/>
      <c r="G69" s="72"/>
      <c r="H69" s="73"/>
      <c r="I69" s="98"/>
      <c r="J69" s="74"/>
      <c r="K69" s="75"/>
      <c r="L69" s="71"/>
      <c r="M69" s="95"/>
      <c r="N69" s="71"/>
      <c r="O69" s="72"/>
      <c r="P69" s="73"/>
      <c r="Q69" s="74"/>
      <c r="R69" s="76"/>
      <c r="S69" s="76"/>
      <c r="T69" s="95"/>
      <c r="U69" s="78"/>
      <c r="V69" s="79"/>
      <c r="W69" s="77"/>
      <c r="X69" s="70"/>
      <c r="Y69" s="70"/>
      <c r="Z69" s="70"/>
    </row>
    <row r="70" spans="1:26" ht="15.75" thickBot="1" x14ac:dyDescent="0.25">
      <c r="A70" s="82" t="s">
        <v>0</v>
      </c>
      <c r="B70" s="83"/>
      <c r="C70" s="83"/>
      <c r="D70" s="83"/>
      <c r="E70" s="84">
        <f>SUM(E4:E51,E60:E68)</f>
        <v>316</v>
      </c>
      <c r="F70" s="85"/>
      <c r="G70" s="83"/>
      <c r="H70" s="86"/>
      <c r="I70" s="100">
        <f>SUM(I4:I69)</f>
        <v>798874.35499999998</v>
      </c>
      <c r="J70" s="87"/>
      <c r="K70" s="87">
        <f>SUM(K4:K69)</f>
        <v>2286008.7467</v>
      </c>
      <c r="L70" s="87"/>
      <c r="M70" s="93">
        <f>SUM(M4:M69)</f>
        <v>1839015.657369972</v>
      </c>
      <c r="N70" s="86">
        <f>SUMPRODUCT(I4:I69,N4:N69)/SUM(I4:I69)</f>
        <v>16.536408050049371</v>
      </c>
      <c r="O70" s="88">
        <f>SUM(O4:O69)</f>
        <v>9860736.0424790028</v>
      </c>
      <c r="P70" s="89">
        <f>SUM(P4:P69)</f>
        <v>1600291.9100000001</v>
      </c>
      <c r="Q70" s="83"/>
      <c r="R70" s="87">
        <f>SUM(R4:R57,R60:R68)</f>
        <v>1788681.69</v>
      </c>
      <c r="S70" s="87">
        <f>R70+SUM(S4:S69)</f>
        <v>1757837.71</v>
      </c>
      <c r="T70" s="91">
        <f>S70/O70</f>
        <v>0.17826637914527088</v>
      </c>
      <c r="U70" s="91">
        <f>(S70+P70)/O70</f>
        <v>0.34055567510716589</v>
      </c>
      <c r="V70" s="92">
        <f>IF($S70=0,"-",(VLOOKUP($N70,AC,6)*$I70)/($S70+$P70))</f>
        <v>3.8896358259555761</v>
      </c>
      <c r="W70" s="87"/>
      <c r="X70" s="93">
        <f>(M70)/O70</f>
        <v>0.18649882214143934</v>
      </c>
      <c r="Y70" s="93">
        <f>(M70+P70)/O70</f>
        <v>0.34878811810333438</v>
      </c>
      <c r="Z70" s="90">
        <f>IF($M70=0,"-",(VLOOKUP($N70,AC,4)*$I70)/($M70+P70))</f>
        <v>3.4525716222854754</v>
      </c>
    </row>
    <row r="71" spans="1:26" ht="13.5" thickBot="1" x14ac:dyDescent="0.25">
      <c r="B71" s="3"/>
      <c r="C71" s="26"/>
      <c r="D71" s="26"/>
      <c r="E71" s="27"/>
      <c r="F71" s="23"/>
      <c r="G71" s="23"/>
      <c r="H71" s="25"/>
      <c r="I71" s="24"/>
      <c r="J71" s="23"/>
      <c r="K71" s="23"/>
      <c r="L71" s="23"/>
      <c r="M71" s="28"/>
      <c r="N71" s="29"/>
      <c r="O71" s="30"/>
      <c r="P71" s="23"/>
      <c r="R71" s="56"/>
      <c r="S71" s="31"/>
      <c r="T71" s="32"/>
      <c r="U71" s="23"/>
      <c r="V71" s="33"/>
      <c r="W71" s="23"/>
      <c r="X71" s="34"/>
      <c r="Y71" s="34"/>
      <c r="Z71" s="3"/>
    </row>
    <row r="72" spans="1:26" ht="33.75" customHeight="1" thickBot="1" x14ac:dyDescent="0.25">
      <c r="A72" s="104" t="s">
        <v>3</v>
      </c>
      <c r="B72" s="105">
        <v>3.4000000000000002E-2</v>
      </c>
      <c r="D72" s="35"/>
      <c r="E72" s="36"/>
      <c r="F72" s="37"/>
      <c r="G72" s="38"/>
      <c r="H72" s="39"/>
      <c r="I72" s="24"/>
      <c r="J72" s="58" t="s">
        <v>161</v>
      </c>
      <c r="K72" s="59">
        <f>K70-M70</f>
        <v>446993.08933002804</v>
      </c>
      <c r="L72" s="39"/>
      <c r="M72" s="40"/>
      <c r="N72" s="24"/>
      <c r="O72" s="41"/>
      <c r="P72" s="41"/>
      <c r="R72" s="57"/>
      <c r="S72" s="41"/>
      <c r="T72" s="42"/>
      <c r="U72" s="43"/>
      <c r="V72" s="44"/>
      <c r="W72" s="39"/>
      <c r="X72" s="37"/>
      <c r="Y72" s="37"/>
      <c r="Z72" s="37"/>
    </row>
    <row r="73" spans="1:26" ht="33.75" customHeight="1" thickBot="1" x14ac:dyDescent="0.25">
      <c r="A73" s="104" t="s">
        <v>4</v>
      </c>
      <c r="B73" s="105">
        <v>0.02</v>
      </c>
      <c r="D73" s="35"/>
      <c r="E73" s="45"/>
      <c r="F73" s="1"/>
      <c r="G73" s="37"/>
      <c r="H73" s="17"/>
      <c r="I73" s="17"/>
      <c r="J73" s="3"/>
      <c r="K73" s="3"/>
      <c r="L73" s="3"/>
      <c r="M73" s="3"/>
      <c r="N73" s="3"/>
      <c r="O73" s="46"/>
      <c r="P73" s="23"/>
      <c r="R73" s="57"/>
      <c r="S73" s="2"/>
    </row>
    <row r="74" spans="1:26" ht="33.75" customHeight="1" thickBot="1" x14ac:dyDescent="0.25">
      <c r="A74" s="104" t="s">
        <v>5</v>
      </c>
      <c r="B74" s="105">
        <v>3.4000000000000002E-2</v>
      </c>
      <c r="D74" s="35"/>
      <c r="E74" s="36"/>
      <c r="F74" s="1"/>
      <c r="G74" s="37"/>
      <c r="H74" s="17"/>
      <c r="I74" s="17"/>
      <c r="S74" s="2"/>
    </row>
    <row r="75" spans="1:26" ht="33.75" customHeight="1" thickBot="1" x14ac:dyDescent="0.25">
      <c r="A75" s="104" t="s">
        <v>162</v>
      </c>
      <c r="B75" s="106">
        <v>1600291.91</v>
      </c>
      <c r="D75" s="35"/>
      <c r="I75" s="17"/>
      <c r="S75" s="2"/>
    </row>
    <row r="76" spans="1:26" ht="33.75" customHeight="1" thickBot="1" x14ac:dyDescent="0.25">
      <c r="A76" s="104" t="s">
        <v>34</v>
      </c>
      <c r="B76" s="112">
        <f>B75*0.4</f>
        <v>640116.76399999997</v>
      </c>
      <c r="D76" s="35"/>
      <c r="F76" s="20"/>
      <c r="H76" s="18"/>
      <c r="I76" s="47"/>
      <c r="J76" s="20"/>
      <c r="K76" s="20"/>
      <c r="L76" s="20"/>
      <c r="M76" s="20"/>
      <c r="N76" s="20"/>
      <c r="O76" s="20"/>
      <c r="P76" s="20"/>
      <c r="Q76" s="20"/>
      <c r="R76" s="48"/>
      <c r="S76" s="2"/>
      <c r="T76" s="20"/>
      <c r="U76" s="20"/>
      <c r="V76" s="20"/>
      <c r="W76" s="20"/>
      <c r="X76" s="20"/>
      <c r="Y76" s="20"/>
      <c r="Z76" s="20"/>
    </row>
    <row r="77" spans="1:26" ht="33.75" customHeight="1" thickBot="1" x14ac:dyDescent="0.25">
      <c r="A77" s="104" t="s">
        <v>35</v>
      </c>
      <c r="B77" s="112">
        <f>B75*0.6</f>
        <v>960175.14599999995</v>
      </c>
      <c r="D77" s="35"/>
      <c r="F77" s="20"/>
      <c r="G77" s="49"/>
      <c r="H77" s="18"/>
      <c r="I77" s="47"/>
      <c r="J77" s="20"/>
      <c r="K77" s="20"/>
      <c r="L77" s="20"/>
      <c r="M77" s="20"/>
      <c r="N77" s="20"/>
      <c r="O77" s="20"/>
      <c r="P77" s="20"/>
      <c r="Q77" s="20"/>
      <c r="R77" s="48"/>
      <c r="S77" s="48"/>
      <c r="T77" s="20"/>
      <c r="U77" s="20"/>
      <c r="V77" s="20"/>
      <c r="W77" s="20"/>
      <c r="X77" s="20"/>
      <c r="Y77" s="20"/>
      <c r="Z77" s="20"/>
    </row>
    <row r="78" spans="1:26" ht="16.899999999999999" customHeight="1" x14ac:dyDescent="0.2">
      <c r="B78" s="20"/>
      <c r="D78" s="35"/>
      <c r="F78" s="20"/>
      <c r="H78" s="18"/>
      <c r="I78" s="47"/>
      <c r="J78" s="20"/>
      <c r="K78" s="20"/>
      <c r="L78" s="20"/>
      <c r="M78" s="20"/>
      <c r="N78" s="20"/>
      <c r="O78" s="20"/>
      <c r="P78" s="20"/>
      <c r="Q78" s="20"/>
      <c r="R78" s="48"/>
      <c r="S78" s="48"/>
      <c r="T78" s="20"/>
      <c r="U78" s="20"/>
      <c r="V78" s="20"/>
      <c r="W78" s="20"/>
      <c r="X78" s="20"/>
      <c r="Y78" s="20"/>
      <c r="Z78" s="20"/>
    </row>
    <row r="79" spans="1:26" ht="14.45" customHeight="1" x14ac:dyDescent="0.2">
      <c r="A79" s="20"/>
      <c r="B79" s="20"/>
      <c r="D79" s="35"/>
      <c r="F79" s="20"/>
      <c r="G79" s="50"/>
      <c r="H79" s="18"/>
      <c r="I79" s="47"/>
      <c r="J79" s="20"/>
      <c r="K79" s="20"/>
      <c r="L79" s="20"/>
      <c r="M79" s="20"/>
      <c r="N79" s="20"/>
      <c r="O79" s="20"/>
      <c r="P79" s="20"/>
      <c r="Q79" s="20"/>
      <c r="R79" s="48"/>
      <c r="S79" s="48"/>
      <c r="T79" s="20"/>
      <c r="U79" s="20"/>
      <c r="V79" s="20"/>
      <c r="W79" s="20"/>
      <c r="X79" s="20"/>
      <c r="Y79" s="20"/>
      <c r="Z79" s="20"/>
    </row>
    <row r="80" spans="1:26" ht="16.899999999999999" customHeight="1" x14ac:dyDescent="0.2">
      <c r="A80" s="20"/>
      <c r="B80" s="51">
        <v>766935</v>
      </c>
      <c r="D80" s="35"/>
      <c r="F80" s="20"/>
      <c r="H80" s="18"/>
      <c r="I80" s="47"/>
      <c r="J80" s="20"/>
      <c r="K80" s="20"/>
      <c r="L80" s="20"/>
      <c r="M80" s="20"/>
      <c r="N80" s="20"/>
      <c r="O80" s="20"/>
      <c r="P80" s="20"/>
      <c r="Q80" s="20"/>
      <c r="R80" s="48"/>
      <c r="S80" s="48"/>
      <c r="T80" s="20"/>
      <c r="U80" s="20"/>
      <c r="V80" s="20"/>
      <c r="W80" s="20"/>
      <c r="X80" s="20"/>
      <c r="Y80" s="20"/>
      <c r="Z80" s="20"/>
    </row>
    <row r="81" spans="1:26" ht="14.45" customHeight="1" x14ac:dyDescent="0.2">
      <c r="B81" s="20"/>
      <c r="D81" s="35"/>
      <c r="F81" s="20"/>
      <c r="G81" s="50"/>
      <c r="H81" s="18"/>
      <c r="I81" s="47"/>
      <c r="J81" s="20"/>
      <c r="K81" s="20"/>
      <c r="L81" s="20"/>
      <c r="M81" s="20"/>
      <c r="N81" s="20"/>
      <c r="O81" s="20"/>
      <c r="P81" s="20"/>
      <c r="Q81" s="20"/>
      <c r="R81" s="48"/>
      <c r="S81" s="48"/>
      <c r="T81" s="20"/>
      <c r="U81" s="20"/>
      <c r="V81" s="20"/>
      <c r="W81" s="20"/>
      <c r="X81" s="20"/>
      <c r="Y81" s="20"/>
      <c r="Z81" s="20"/>
    </row>
    <row r="82" spans="1:26" x14ac:dyDescent="0.2">
      <c r="B82" s="20"/>
      <c r="F82" s="20"/>
      <c r="H82" s="18"/>
      <c r="I82" s="47"/>
      <c r="J82" s="20"/>
      <c r="K82" s="20"/>
      <c r="L82" s="20"/>
      <c r="M82" s="20"/>
      <c r="N82" s="20"/>
      <c r="O82" s="20"/>
      <c r="P82" s="20"/>
      <c r="Q82" s="20"/>
      <c r="R82" s="48"/>
      <c r="S82" s="48"/>
      <c r="T82" s="20"/>
      <c r="U82" s="20"/>
      <c r="V82" s="20"/>
      <c r="W82" s="20"/>
      <c r="X82" s="20"/>
      <c r="Y82" s="20"/>
      <c r="Z82" s="20"/>
    </row>
    <row r="83" spans="1:26" ht="18" customHeight="1" x14ac:dyDescent="0.2">
      <c r="B83" s="55"/>
      <c r="C83" s="49"/>
      <c r="F83" s="20"/>
      <c r="H83" s="18"/>
      <c r="I83" s="47"/>
      <c r="J83" s="20"/>
      <c r="K83" s="20"/>
      <c r="L83" s="20"/>
      <c r="M83" s="20"/>
      <c r="N83" s="20"/>
      <c r="O83" s="20"/>
      <c r="P83" s="20"/>
      <c r="Q83" s="20"/>
      <c r="R83" s="48"/>
      <c r="S83" s="48"/>
      <c r="T83" s="52"/>
      <c r="U83" s="20"/>
      <c r="V83" s="20"/>
      <c r="W83" s="20"/>
      <c r="X83" s="20"/>
      <c r="Y83" s="20"/>
      <c r="Z83" s="20"/>
    </row>
    <row r="84" spans="1:26" x14ac:dyDescent="0.2">
      <c r="C84" s="53"/>
      <c r="I84" s="54"/>
    </row>
    <row r="85" spans="1:26" x14ac:dyDescent="0.2">
      <c r="C85" s="50"/>
      <c r="I85" s="54"/>
    </row>
    <row r="86" spans="1:26" x14ac:dyDescent="0.2">
      <c r="I86" s="54"/>
    </row>
    <row r="87" spans="1:26" x14ac:dyDescent="0.2">
      <c r="A87" s="3"/>
      <c r="I87" s="54"/>
    </row>
    <row r="88" spans="1:26" x14ac:dyDescent="0.2">
      <c r="I88" s="54"/>
    </row>
    <row r="89" spans="1:26" x14ac:dyDescent="0.2">
      <c r="I89" s="54"/>
      <c r="Z89" s="3"/>
    </row>
  </sheetData>
  <autoFilter ref="A3:Z3" xr:uid="{00000000-0001-0000-0000-000000000000}"/>
  <mergeCells count="2">
    <mergeCell ref="B1:Z1"/>
    <mergeCell ref="B2:Z2"/>
  </mergeCells>
  <phoneticPr fontId="0" type="noConversion"/>
  <printOptions horizontalCentered="1" verticalCentered="1"/>
  <pageMargins left="0.25" right="0.02" top="0.73" bottom="0.72" header="0.5" footer="0.5"/>
  <pageSetup paperSize="5" scale="21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56"/>
  <sheetViews>
    <sheetView zoomScaleNormal="100" workbookViewId="0">
      <selection sqref="A1:I1"/>
    </sheetView>
  </sheetViews>
  <sheetFormatPr defaultColWidth="10.6640625" defaultRowHeight="12.75" x14ac:dyDescent="0.2"/>
  <cols>
    <col min="1" max="1" width="7.33203125" style="7" bestFit="1" customWidth="1"/>
    <col min="2" max="2" width="7.6640625" style="7" bestFit="1" customWidth="1"/>
    <col min="3" max="3" width="18" style="7" customWidth="1"/>
    <col min="4" max="4" width="12.33203125" style="7" bestFit="1" customWidth="1"/>
    <col min="5" max="5" width="13.5" style="7" bestFit="1" customWidth="1"/>
    <col min="6" max="6" width="20.33203125" style="7" bestFit="1" customWidth="1"/>
    <col min="7" max="7" width="20.33203125" style="7" customWidth="1"/>
    <col min="8" max="8" width="21.83203125" style="7" bestFit="1" customWidth="1"/>
    <col min="9" max="9" width="19.33203125" style="7" bestFit="1" customWidth="1"/>
    <col min="10" max="16384" width="10.6640625" style="7"/>
  </cols>
  <sheetData>
    <row r="1" spans="1:11" s="5" customFormat="1" x14ac:dyDescent="0.2">
      <c r="A1" s="121" t="s">
        <v>1</v>
      </c>
      <c r="B1" s="121"/>
      <c r="C1" s="121"/>
      <c r="D1" s="121"/>
      <c r="E1" s="121"/>
      <c r="F1" s="121"/>
      <c r="G1" s="121"/>
      <c r="H1" s="121"/>
      <c r="I1" s="121"/>
      <c r="J1" s="4"/>
      <c r="K1" s="4"/>
    </row>
    <row r="2" spans="1:11" s="5" customFormat="1" x14ac:dyDescent="0.2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4"/>
      <c r="K2" s="4"/>
    </row>
    <row r="3" spans="1:11" s="5" customFormat="1" x14ac:dyDescent="0.2">
      <c r="A3" s="121" t="s">
        <v>30</v>
      </c>
      <c r="B3" s="121"/>
      <c r="C3" s="121"/>
      <c r="D3" s="121"/>
      <c r="E3" s="121"/>
      <c r="F3" s="121"/>
      <c r="G3" s="121"/>
      <c r="H3" s="121"/>
      <c r="I3" s="121"/>
      <c r="J3" s="4"/>
      <c r="K3" s="4"/>
    </row>
    <row r="4" spans="1:11" s="5" customFormat="1" x14ac:dyDescent="0.2">
      <c r="A4" s="121" t="s">
        <v>19</v>
      </c>
      <c r="B4" s="121"/>
      <c r="C4" s="121"/>
      <c r="D4" s="121"/>
      <c r="E4" s="121"/>
      <c r="F4" s="121"/>
      <c r="G4" s="121"/>
      <c r="H4" s="121"/>
      <c r="I4" s="121"/>
      <c r="J4" s="4"/>
      <c r="K4" s="4"/>
    </row>
    <row r="5" spans="1:11" x14ac:dyDescent="0.2">
      <c r="I5" s="6"/>
      <c r="J5" s="6"/>
      <c r="K5" s="6"/>
    </row>
    <row r="6" spans="1:11" s="9" customFormat="1" ht="39" x14ac:dyDescent="0.2">
      <c r="B6" s="113" t="s">
        <v>20</v>
      </c>
      <c r="C6" s="113" t="s">
        <v>244</v>
      </c>
      <c r="D6" s="113" t="s">
        <v>245</v>
      </c>
      <c r="E6" s="113" t="s">
        <v>246</v>
      </c>
      <c r="F6" s="113" t="s">
        <v>247</v>
      </c>
      <c r="G6" s="113" t="s">
        <v>248</v>
      </c>
      <c r="H6" s="113" t="s">
        <v>249</v>
      </c>
      <c r="I6" s="8"/>
      <c r="J6" s="8"/>
      <c r="K6" s="8"/>
    </row>
    <row r="7" spans="1:11" s="9" customFormat="1" x14ac:dyDescent="0.2">
      <c r="A7" s="107">
        <v>2021</v>
      </c>
      <c r="B7" s="107">
        <v>1</v>
      </c>
      <c r="C7" s="108">
        <v>0.88445163236383117</v>
      </c>
      <c r="D7" s="108">
        <v>0.88445163236383117</v>
      </c>
      <c r="E7" s="108">
        <v>0.88445163236383117</v>
      </c>
      <c r="F7" s="109">
        <v>0.1</v>
      </c>
      <c r="G7" s="110">
        <v>0.97289679560021436</v>
      </c>
      <c r="H7" s="114">
        <v>0.57011051999999995</v>
      </c>
      <c r="I7" s="8"/>
      <c r="J7" s="8"/>
    </row>
    <row r="8" spans="1:11" s="9" customFormat="1" x14ac:dyDescent="0.2">
      <c r="A8" s="107">
        <v>2022</v>
      </c>
      <c r="B8" s="107">
        <v>2</v>
      </c>
      <c r="C8" s="108">
        <v>0.81371500359565097</v>
      </c>
      <c r="D8" s="108">
        <v>0.84138131371790315</v>
      </c>
      <c r="E8" s="108">
        <v>1.7258329460817343</v>
      </c>
      <c r="F8" s="109">
        <v>0.1</v>
      </c>
      <c r="G8" s="110">
        <v>1.8984162406899079</v>
      </c>
      <c r="H8" s="114">
        <v>0.57615605137735904</v>
      </c>
      <c r="I8" s="8"/>
      <c r="J8" s="8"/>
    </row>
    <row r="9" spans="1:11" s="9" customFormat="1" x14ac:dyDescent="0.2">
      <c r="A9" s="107">
        <v>2023</v>
      </c>
      <c r="B9" s="107">
        <v>3</v>
      </c>
      <c r="C9" s="108">
        <v>0.76115943272610243</v>
      </c>
      <c r="D9" s="108">
        <v>0.81379817445570879</v>
      </c>
      <c r="E9" s="108">
        <v>2.5396311205374431</v>
      </c>
      <c r="F9" s="109">
        <v>0.1</v>
      </c>
      <c r="G9" s="110">
        <v>2.7935942325911878</v>
      </c>
      <c r="H9" s="114">
        <v>0.58293196065410902</v>
      </c>
      <c r="I9" s="8"/>
      <c r="J9" s="8"/>
    </row>
    <row r="10" spans="1:11" x14ac:dyDescent="0.2">
      <c r="A10" s="107">
        <v>2024</v>
      </c>
      <c r="B10" s="107">
        <v>4</v>
      </c>
      <c r="C10" s="108">
        <v>0.75798388048815024</v>
      </c>
      <c r="D10" s="108">
        <v>0.83795671619391321</v>
      </c>
      <c r="E10" s="108">
        <v>3.3775878367313563</v>
      </c>
      <c r="F10" s="109">
        <v>0.1</v>
      </c>
      <c r="G10" s="110">
        <v>3.715346620404492</v>
      </c>
      <c r="H10" s="114">
        <v>0.58975943021046795</v>
      </c>
      <c r="J10" s="6"/>
    </row>
    <row r="11" spans="1:11" x14ac:dyDescent="0.2">
      <c r="A11" s="111">
        <v>2025</v>
      </c>
      <c r="B11" s="107">
        <v>5</v>
      </c>
      <c r="C11" s="108">
        <v>0.77075836546405829</v>
      </c>
      <c r="D11" s="108">
        <v>0.88104968872936473</v>
      </c>
      <c r="E11" s="108">
        <v>4.2586375254607214</v>
      </c>
      <c r="F11" s="109">
        <v>0.1</v>
      </c>
      <c r="G11" s="110">
        <v>4.6845012780067936</v>
      </c>
      <c r="H11" s="114">
        <v>0.61455510299969196</v>
      </c>
      <c r="J11" s="6"/>
    </row>
    <row r="12" spans="1:11" x14ac:dyDescent="0.2">
      <c r="A12" s="107">
        <v>2026</v>
      </c>
      <c r="B12" s="107">
        <v>6</v>
      </c>
      <c r="C12" s="108">
        <v>0.76378755722747937</v>
      </c>
      <c r="D12" s="108">
        <v>0.90276616326625003</v>
      </c>
      <c r="E12" s="108">
        <v>5.1614036887269714</v>
      </c>
      <c r="F12" s="109">
        <v>0.1</v>
      </c>
      <c r="G12" s="110">
        <v>5.6775440575996692</v>
      </c>
      <c r="H12" s="114">
        <v>0.629247118316003</v>
      </c>
      <c r="J12" s="6"/>
    </row>
    <row r="13" spans="1:11" x14ac:dyDescent="0.2">
      <c r="A13" s="107">
        <v>2027</v>
      </c>
      <c r="B13" s="107">
        <v>7</v>
      </c>
      <c r="C13" s="108">
        <v>0.74933499617350652</v>
      </c>
      <c r="D13" s="108">
        <v>0.91579706736600974</v>
      </c>
      <c r="E13" s="108">
        <v>6.0772007560929815</v>
      </c>
      <c r="F13" s="109">
        <v>0.1</v>
      </c>
      <c r="G13" s="110">
        <v>6.6849208317022804</v>
      </c>
      <c r="H13" s="114">
        <v>0.64174689766763904</v>
      </c>
      <c r="J13" s="6"/>
    </row>
    <row r="14" spans="1:11" x14ac:dyDescent="0.2">
      <c r="A14" s="107">
        <v>2028</v>
      </c>
      <c r="B14" s="107">
        <v>8</v>
      </c>
      <c r="C14" s="108">
        <v>0.72707320786116503</v>
      </c>
      <c r="D14" s="108">
        <v>0.91880195964036115</v>
      </c>
      <c r="E14" s="108">
        <v>6.9960027157333426</v>
      </c>
      <c r="F14" s="109">
        <v>0.1</v>
      </c>
      <c r="G14" s="110">
        <v>7.6956029873066774</v>
      </c>
      <c r="H14" s="114">
        <v>0.65668675188056402</v>
      </c>
      <c r="J14" s="6"/>
    </row>
    <row r="15" spans="1:11" x14ac:dyDescent="0.2">
      <c r="A15" s="107">
        <v>2029</v>
      </c>
      <c r="B15" s="107">
        <v>9</v>
      </c>
      <c r="C15" s="108">
        <v>0.7149322508405066</v>
      </c>
      <c r="D15" s="108">
        <v>0.93417706077384166</v>
      </c>
      <c r="E15" s="108">
        <v>7.9301797765071846</v>
      </c>
      <c r="F15" s="109">
        <v>0.1</v>
      </c>
      <c r="G15" s="110">
        <v>8.7231977541579031</v>
      </c>
      <c r="H15" s="114">
        <v>0.671362515855918</v>
      </c>
      <c r="J15" s="6"/>
    </row>
    <row r="16" spans="1:11" x14ac:dyDescent="0.2">
      <c r="A16" s="111">
        <v>2030</v>
      </c>
      <c r="B16" s="107">
        <v>10</v>
      </c>
      <c r="C16" s="108">
        <v>0.70356791294168164</v>
      </c>
      <c r="D16" s="108">
        <v>0.95058481742366419</v>
      </c>
      <c r="E16" s="108">
        <v>8.8807645939308486</v>
      </c>
      <c r="F16" s="109">
        <v>0.1</v>
      </c>
      <c r="G16" s="110">
        <v>9.7688410533239338</v>
      </c>
      <c r="H16" s="114">
        <v>0.70168753835864495</v>
      </c>
      <c r="J16" s="6"/>
    </row>
    <row r="17" spans="1:10" x14ac:dyDescent="0.2">
      <c r="A17" s="107">
        <v>2031</v>
      </c>
      <c r="B17" s="107">
        <v>11</v>
      </c>
      <c r="C17" s="108">
        <v>0.6851545172570157</v>
      </c>
      <c r="D17" s="108">
        <v>0.95718065546171105</v>
      </c>
      <c r="E17" s="108">
        <v>9.8379452493925594</v>
      </c>
      <c r="F17" s="109">
        <v>0.1</v>
      </c>
      <c r="G17" s="110">
        <v>10.821739774331816</v>
      </c>
      <c r="H17" s="114">
        <v>0.71753017552309395</v>
      </c>
      <c r="J17" s="6"/>
    </row>
    <row r="18" spans="1:10" x14ac:dyDescent="0.2">
      <c r="A18" s="107">
        <v>2032</v>
      </c>
      <c r="B18" s="107">
        <v>12</v>
      </c>
      <c r="C18" s="108">
        <v>0.67625670713780228</v>
      </c>
      <c r="D18" s="108">
        <v>0.97687166301819628</v>
      </c>
      <c r="E18" s="108">
        <v>10.814816912410755</v>
      </c>
      <c r="F18" s="109">
        <v>0.1</v>
      </c>
      <c r="G18" s="110">
        <v>11.896298603651832</v>
      </c>
      <c r="H18" s="114">
        <v>0.73540219867662504</v>
      </c>
      <c r="J18" s="6"/>
    </row>
    <row r="19" spans="1:10" x14ac:dyDescent="0.2">
      <c r="A19" s="107">
        <v>2033</v>
      </c>
      <c r="B19" s="107">
        <v>13</v>
      </c>
      <c r="C19" s="108">
        <v>0.66587008865652375</v>
      </c>
      <c r="D19" s="108">
        <v>0.99457141181766762</v>
      </c>
      <c r="E19" s="108">
        <v>11.809388324228422</v>
      </c>
      <c r="F19" s="109">
        <v>0.1</v>
      </c>
      <c r="G19" s="110">
        <v>12.990327156651265</v>
      </c>
      <c r="H19" s="114">
        <v>0.75283800222888697</v>
      </c>
      <c r="J19" s="6"/>
    </row>
    <row r="20" spans="1:10" x14ac:dyDescent="0.2">
      <c r="A20" s="107">
        <v>2034</v>
      </c>
      <c r="B20" s="107">
        <v>14</v>
      </c>
      <c r="C20" s="108">
        <v>0.64881311732878166</v>
      </c>
      <c r="D20" s="108">
        <v>1.0020436159092017</v>
      </c>
      <c r="E20" s="108">
        <v>12.811431940137624</v>
      </c>
      <c r="F20" s="109">
        <v>0.1</v>
      </c>
      <c r="G20" s="110">
        <v>14.092575134151387</v>
      </c>
      <c r="H20" s="114">
        <v>0.77211629283704597</v>
      </c>
      <c r="J20" s="6"/>
    </row>
    <row r="21" spans="1:10" x14ac:dyDescent="0.2">
      <c r="A21" s="107">
        <v>2035</v>
      </c>
      <c r="B21" s="107">
        <v>15</v>
      </c>
      <c r="C21" s="108">
        <v>0.63835970106897866</v>
      </c>
      <c r="D21" s="108">
        <v>1.0194196609012849</v>
      </c>
      <c r="E21" s="108">
        <v>13.830851601038908</v>
      </c>
      <c r="F21" s="109">
        <v>0.1</v>
      </c>
      <c r="G21" s="110">
        <v>15.213936761142801</v>
      </c>
      <c r="H21" s="114">
        <v>0.81064038086745605</v>
      </c>
      <c r="J21" s="6"/>
    </row>
    <row r="22" spans="1:10" x14ac:dyDescent="0.2">
      <c r="A22" s="107">
        <v>2036</v>
      </c>
      <c r="B22" s="107">
        <v>16</v>
      </c>
      <c r="C22" s="108">
        <v>0.62567375799839731</v>
      </c>
      <c r="D22" s="108">
        <v>1.0331324949498273</v>
      </c>
      <c r="E22" s="108">
        <v>14.863984095988735</v>
      </c>
      <c r="F22" s="109">
        <v>0.1</v>
      </c>
      <c r="G22" s="110">
        <v>16.350382505587611</v>
      </c>
      <c r="H22" s="114">
        <v>0.83101695530386399</v>
      </c>
      <c r="J22" s="6"/>
    </row>
    <row r="23" spans="1:10" x14ac:dyDescent="0.2">
      <c r="A23" s="107">
        <v>2037</v>
      </c>
      <c r="B23" s="107">
        <v>17</v>
      </c>
      <c r="C23" s="108">
        <v>0.61894833994618093</v>
      </c>
      <c r="D23" s="108">
        <v>1.0567761970079774</v>
      </c>
      <c r="E23" s="108">
        <v>15.920760292996713</v>
      </c>
      <c r="F23" s="109">
        <v>0.1</v>
      </c>
      <c r="G23" s="110">
        <v>17.512836322296387</v>
      </c>
      <c r="H23" s="114">
        <v>0.85329665766642104</v>
      </c>
      <c r="J23" s="6"/>
    </row>
    <row r="24" spans="1:10" x14ac:dyDescent="0.2">
      <c r="A24" s="107">
        <v>2038</v>
      </c>
      <c r="B24" s="107">
        <v>18</v>
      </c>
      <c r="C24" s="108">
        <v>0.61107179398866485</v>
      </c>
      <c r="D24" s="108">
        <v>1.078801140190391</v>
      </c>
      <c r="E24" s="108">
        <v>16.999561433187104</v>
      </c>
      <c r="F24" s="109">
        <v>0.1</v>
      </c>
      <c r="G24" s="110">
        <v>18.699517576505816</v>
      </c>
      <c r="H24" s="114">
        <v>0.87508084147130905</v>
      </c>
      <c r="J24" s="6"/>
    </row>
    <row r="25" spans="1:10" x14ac:dyDescent="0.2">
      <c r="A25" s="107">
        <v>2039</v>
      </c>
      <c r="B25" s="107">
        <v>19</v>
      </c>
      <c r="C25" s="108">
        <v>0.60374811403143069</v>
      </c>
      <c r="D25" s="108">
        <v>1.1021113748980613</v>
      </c>
      <c r="E25" s="108">
        <v>18.101672808085166</v>
      </c>
      <c r="F25" s="109">
        <v>0.1</v>
      </c>
      <c r="G25" s="110">
        <v>19.911840088893683</v>
      </c>
      <c r="H25" s="114">
        <v>0.897067740402681</v>
      </c>
      <c r="J25" s="6"/>
    </row>
    <row r="26" spans="1:10" x14ac:dyDescent="0.2">
      <c r="A26" s="111">
        <v>2040</v>
      </c>
      <c r="B26" s="107">
        <v>20</v>
      </c>
      <c r="C26" s="108">
        <v>0.59154544035996659</v>
      </c>
      <c r="D26" s="108">
        <v>1.1165504413430951</v>
      </c>
      <c r="E26" s="108">
        <v>19.218223249428259</v>
      </c>
      <c r="F26" s="109">
        <v>0.1</v>
      </c>
      <c r="G26" s="110">
        <v>21.140045574371086</v>
      </c>
      <c r="H26" s="114">
        <v>0.91930355234543903</v>
      </c>
      <c r="J26" s="6"/>
    </row>
    <row r="27" spans="1:10" x14ac:dyDescent="0.2">
      <c r="A27" s="107">
        <v>2041</v>
      </c>
      <c r="B27" s="107">
        <v>21</v>
      </c>
      <c r="C27" s="108">
        <v>0.58353612105141783</v>
      </c>
      <c r="D27" s="108">
        <v>1.1388814501699571</v>
      </c>
      <c r="E27" s="108">
        <v>20.357104699598217</v>
      </c>
      <c r="F27" s="109">
        <v>0.1</v>
      </c>
      <c r="G27" s="110">
        <v>22.392815169558041</v>
      </c>
      <c r="H27" s="114">
        <v>0.96256067436903203</v>
      </c>
      <c r="J27" s="6"/>
    </row>
    <row r="28" spans="1:10" x14ac:dyDescent="0.2">
      <c r="A28" s="107">
        <v>2042</v>
      </c>
      <c r="B28" s="107">
        <v>22</v>
      </c>
      <c r="C28" s="108">
        <v>0.57563524513776232</v>
      </c>
      <c r="D28" s="108">
        <v>1.1616590791733563</v>
      </c>
      <c r="E28" s="108">
        <v>21.518763778771575</v>
      </c>
      <c r="F28" s="109">
        <v>0.1</v>
      </c>
      <c r="G28" s="110">
        <v>23.670640156648734</v>
      </c>
      <c r="H28" s="114">
        <v>0.98552212265613304</v>
      </c>
      <c r="J28" s="6"/>
    </row>
    <row r="29" spans="1:10" x14ac:dyDescent="0.2">
      <c r="A29" s="107">
        <v>2043</v>
      </c>
      <c r="B29" s="107">
        <v>23</v>
      </c>
      <c r="C29" s="108">
        <v>0.56784134433318922</v>
      </c>
      <c r="D29" s="108">
        <v>1.1848922607568235</v>
      </c>
      <c r="E29" s="108">
        <v>22.703656039528397</v>
      </c>
      <c r="F29" s="109">
        <v>0.1</v>
      </c>
      <c r="G29" s="110">
        <v>24.97402164348124</v>
      </c>
      <c r="H29" s="114">
        <v>1.0086464310452701</v>
      </c>
      <c r="J29" s="6"/>
    </row>
    <row r="30" spans="1:10" x14ac:dyDescent="0.2">
      <c r="A30" s="107">
        <v>2044</v>
      </c>
      <c r="B30" s="107">
        <v>24</v>
      </c>
      <c r="C30" s="108">
        <v>0.56015297023196597</v>
      </c>
      <c r="D30" s="108">
        <v>1.2085901059719599</v>
      </c>
      <c r="E30" s="108">
        <v>23.912246145500358</v>
      </c>
      <c r="F30" s="109">
        <v>0.1</v>
      </c>
      <c r="G30" s="110">
        <v>26.303470760050395</v>
      </c>
      <c r="H30" s="114">
        <v>1.03195880055061</v>
      </c>
      <c r="J30" s="6"/>
    </row>
    <row r="31" spans="1:10" x14ac:dyDescent="0.2">
      <c r="A31" s="107">
        <v>2045</v>
      </c>
      <c r="B31" s="107">
        <v>25</v>
      </c>
      <c r="C31" s="108">
        <v>0.55256869403927023</v>
      </c>
      <c r="D31" s="108">
        <v>1.2327619080913992</v>
      </c>
      <c r="E31" s="108">
        <v>25.145008053591756</v>
      </c>
      <c r="F31" s="109">
        <v>0.1</v>
      </c>
      <c r="G31" s="110">
        <v>27.659508858950932</v>
      </c>
      <c r="H31" s="114">
        <v>1.0554809412422199</v>
      </c>
      <c r="J31" s="6"/>
    </row>
    <row r="32" spans="1:10" x14ac:dyDescent="0.2">
      <c r="A32" s="107">
        <v>2046</v>
      </c>
      <c r="B32" s="107">
        <v>26</v>
      </c>
      <c r="C32" s="108">
        <v>0.54508710630566315</v>
      </c>
      <c r="D32" s="108">
        <v>1.2574171462532271</v>
      </c>
      <c r="E32" s="108">
        <v>26.402425199844984</v>
      </c>
      <c r="F32" s="109">
        <v>0.1</v>
      </c>
      <c r="G32" s="110">
        <v>29.042667719829485</v>
      </c>
      <c r="H32" s="114">
        <v>1.1026933043184499</v>
      </c>
      <c r="J32" s="6"/>
    </row>
    <row r="33" spans="1:11" x14ac:dyDescent="0.2">
      <c r="A33" s="107">
        <v>2047</v>
      </c>
      <c r="B33" s="107">
        <v>27</v>
      </c>
      <c r="C33" s="108">
        <v>0.53770681666516085</v>
      </c>
      <c r="D33" s="108">
        <v>1.2825654891782916</v>
      </c>
      <c r="E33" s="108">
        <v>27.684990689023277</v>
      </c>
      <c r="F33" s="109">
        <v>0.1</v>
      </c>
      <c r="G33" s="110">
        <v>30.453489757925606</v>
      </c>
      <c r="H33" s="114">
        <v>1.1272110200121499</v>
      </c>
      <c r="J33" s="6"/>
    </row>
    <row r="34" spans="1:11" x14ac:dyDescent="0.2">
      <c r="A34" s="107">
        <v>2048</v>
      </c>
      <c r="B34" s="107">
        <v>28</v>
      </c>
      <c r="C34" s="108">
        <v>0.53042645357685103</v>
      </c>
      <c r="D34" s="108">
        <v>1.3082167989618574</v>
      </c>
      <c r="E34" s="108">
        <v>28.993207487985135</v>
      </c>
      <c r="F34" s="109">
        <v>0.1</v>
      </c>
      <c r="G34" s="110">
        <v>31.892528236783651</v>
      </c>
      <c r="H34" s="114">
        <v>1.1519943575740099</v>
      </c>
      <c r="J34" s="6"/>
    </row>
    <row r="35" spans="1:11" x14ac:dyDescent="0.2">
      <c r="A35" s="107">
        <v>2049</v>
      </c>
      <c r="B35" s="107">
        <v>29</v>
      </c>
      <c r="C35" s="108">
        <v>0.52324466407000791</v>
      </c>
      <c r="D35" s="108">
        <v>1.3343811349410946</v>
      </c>
      <c r="E35" s="108">
        <v>30.327588622926228</v>
      </c>
      <c r="F35" s="109">
        <v>0.1</v>
      </c>
      <c r="G35" s="110">
        <v>33.360347485218853</v>
      </c>
      <c r="H35" s="114">
        <v>1.1770567561259799</v>
      </c>
      <c r="J35" s="6"/>
    </row>
    <row r="36" spans="1:11" x14ac:dyDescent="0.2">
      <c r="A36" s="111">
        <v>2050</v>
      </c>
      <c r="B36" s="107">
        <v>30</v>
      </c>
      <c r="C36" s="108">
        <v>0.51616011349265778</v>
      </c>
      <c r="D36" s="108">
        <v>1.3610687576399165</v>
      </c>
      <c r="E36" s="108">
        <v>31.688657380566145</v>
      </c>
      <c r="F36" s="109">
        <v>0.1</v>
      </c>
      <c r="G36" s="110">
        <v>34.857523118622765</v>
      </c>
      <c r="H36" s="114">
        <v>1.2024103291102399</v>
      </c>
      <c r="J36" s="6"/>
    </row>
    <row r="37" spans="1:11" x14ac:dyDescent="0.2">
      <c r="A37" s="107">
        <v>2051</v>
      </c>
      <c r="B37" s="107">
        <v>31</v>
      </c>
      <c r="C37" s="108">
        <v>0.50917148526355016</v>
      </c>
      <c r="D37" s="108">
        <v>1.3882901327927148</v>
      </c>
      <c r="E37" s="108">
        <v>33.07694751335886</v>
      </c>
      <c r="F37" s="109">
        <v>0.1</v>
      </c>
      <c r="G37" s="110">
        <v>36.384642264694747</v>
      </c>
      <c r="H37" s="114">
        <v>1.2541951448828901</v>
      </c>
      <c r="J37" s="6"/>
    </row>
    <row r="38" spans="1:11" x14ac:dyDescent="0.2">
      <c r="A38" s="107">
        <v>2052</v>
      </c>
      <c r="B38" s="107">
        <v>32</v>
      </c>
      <c r="C38" s="108">
        <v>0.50227748062748667</v>
      </c>
      <c r="D38" s="108">
        <v>1.4160559354485691</v>
      </c>
      <c r="E38" s="108">
        <v>34.493003448807428</v>
      </c>
      <c r="F38" s="109">
        <v>0.1</v>
      </c>
      <c r="G38" s="110">
        <v>37.942303793688176</v>
      </c>
      <c r="H38" s="114">
        <v>1.2807156499932999</v>
      </c>
      <c r="J38" s="6"/>
    </row>
    <row r="39" spans="1:11" x14ac:dyDescent="0.2">
      <c r="A39" s="107">
        <v>2053</v>
      </c>
      <c r="B39" s="107">
        <v>33</v>
      </c>
      <c r="C39" s="108">
        <v>0.49547681841396168</v>
      </c>
      <c r="D39" s="108">
        <v>1.4443770541575405</v>
      </c>
      <c r="E39" s="108">
        <v>35.93738050296497</v>
      </c>
      <c r="F39" s="109">
        <v>0.1</v>
      </c>
      <c r="G39" s="110">
        <v>39.531118553261472</v>
      </c>
      <c r="H39" s="114">
        <v>1.30756451467569</v>
      </c>
      <c r="J39" s="6"/>
    </row>
    <row r="40" spans="1:11" x14ac:dyDescent="0.2">
      <c r="A40" s="107">
        <v>2054</v>
      </c>
      <c r="B40" s="107">
        <v>34</v>
      </c>
      <c r="C40" s="108">
        <v>0.48876823479907244</v>
      </c>
      <c r="D40" s="108">
        <v>1.4732645952406913</v>
      </c>
      <c r="E40" s="108">
        <v>37.410645098205663</v>
      </c>
      <c r="F40" s="109">
        <v>0.1</v>
      </c>
      <c r="G40" s="110">
        <v>41.151709608026231</v>
      </c>
      <c r="H40" s="114">
        <v>1.33475052162326</v>
      </c>
      <c r="J40" s="10"/>
      <c r="K40" s="6"/>
    </row>
    <row r="41" spans="1:11" x14ac:dyDescent="0.2">
      <c r="A41" s="107">
        <v>2055</v>
      </c>
      <c r="B41" s="107">
        <v>35</v>
      </c>
      <c r="C41" s="108">
        <v>0.48215048307065178</v>
      </c>
      <c r="D41" s="108">
        <v>1.5027298871455053</v>
      </c>
      <c r="E41" s="108">
        <v>38.913374985351169</v>
      </c>
      <c r="F41" s="109">
        <v>0.1</v>
      </c>
      <c r="G41" s="110">
        <v>42.804712483886291</v>
      </c>
      <c r="H41" s="114">
        <v>1.3622818643825101</v>
      </c>
      <c r="J41" s="10"/>
      <c r="K41" s="6"/>
    </row>
    <row r="42" spans="1:11" x14ac:dyDescent="0.2">
      <c r="A42" s="107">
        <v>2056</v>
      </c>
      <c r="B42" s="107">
        <v>36</v>
      </c>
      <c r="C42" s="108">
        <v>0.47562233339658105</v>
      </c>
      <c r="D42" s="108">
        <v>1.5327844848884153</v>
      </c>
      <c r="E42" s="108">
        <v>40.446159470239586</v>
      </c>
      <c r="F42" s="109">
        <v>0.1</v>
      </c>
      <c r="G42" s="110">
        <v>44.490775417263549</v>
      </c>
      <c r="H42" s="114">
        <v>1.3901662306967699</v>
      </c>
      <c r="J42" s="10"/>
      <c r="K42" s="6"/>
    </row>
    <row r="43" spans="1:11" x14ac:dyDescent="0.2">
      <c r="A43" s="107">
        <v>2057</v>
      </c>
      <c r="B43" s="107">
        <v>37</v>
      </c>
      <c r="C43" s="108">
        <v>0.46918257259624058</v>
      </c>
      <c r="D43" s="108">
        <v>1.5634401745861837</v>
      </c>
      <c r="E43" s="108">
        <v>42.009599644825769</v>
      </c>
      <c r="F43" s="109">
        <v>0.1</v>
      </c>
      <c r="G43" s="110">
        <v>46.210559609308348</v>
      </c>
      <c r="H43" s="114">
        <v>1.41841087242749</v>
      </c>
      <c r="J43" s="10"/>
      <c r="K43" s="6"/>
    </row>
    <row r="44" spans="1:11" x14ac:dyDescent="0.2">
      <c r="A44" s="107">
        <v>2058</v>
      </c>
      <c r="B44" s="107">
        <v>38</v>
      </c>
      <c r="C44" s="108">
        <v>0.46283000391505358</v>
      </c>
      <c r="D44" s="108">
        <v>1.5947089780779073</v>
      </c>
      <c r="E44" s="108">
        <v>43.604308622903673</v>
      </c>
      <c r="F44" s="109">
        <v>0.1</v>
      </c>
      <c r="G44" s="110">
        <v>47.964739485194045</v>
      </c>
      <c r="H44" s="114">
        <v>1.4470226645295901</v>
      </c>
      <c r="J44" s="10"/>
      <c r="K44" s="6"/>
    </row>
    <row r="45" spans="1:11" x14ac:dyDescent="0.2">
      <c r="A45" s="107">
        <v>2059</v>
      </c>
      <c r="B45" s="107">
        <v>39</v>
      </c>
      <c r="C45" s="108">
        <v>0.45656344680208383</v>
      </c>
      <c r="D45" s="108">
        <v>1.6266031576394655</v>
      </c>
      <c r="E45" s="108">
        <v>45.230911780543138</v>
      </c>
      <c r="F45" s="109">
        <v>0.1</v>
      </c>
      <c r="G45" s="110">
        <v>49.754002958597454</v>
      </c>
      <c r="H45" s="114">
        <v>1.4760081550492099</v>
      </c>
      <c r="J45" s="10"/>
      <c r="K45" s="6"/>
    </row>
    <row r="46" spans="1:11" x14ac:dyDescent="0.2">
      <c r="A46" s="111">
        <v>2060</v>
      </c>
      <c r="B46" s="107">
        <v>40</v>
      </c>
      <c r="C46" s="108">
        <v>0.45038173669064363</v>
      </c>
      <c r="D46" s="108">
        <v>1.6591352207922549</v>
      </c>
      <c r="E46" s="108">
        <v>46.890047001335397</v>
      </c>
      <c r="F46" s="109">
        <v>0.1</v>
      </c>
      <c r="G46" s="110">
        <v>51.579051701468941</v>
      </c>
      <c r="H46" s="114">
        <v>1.5053736077183399</v>
      </c>
      <c r="J46" s="10"/>
      <c r="K46" s="6"/>
    </row>
    <row r="47" spans="1:11" x14ac:dyDescent="0.2">
      <c r="A47" s="107">
        <v>2061</v>
      </c>
      <c r="B47" s="107">
        <v>41</v>
      </c>
      <c r="C47" s="108">
        <v>0.44428372478187284</v>
      </c>
      <c r="D47" s="108">
        <v>1.6923179252081</v>
      </c>
      <c r="E47" s="108">
        <v>48.582364926543498</v>
      </c>
      <c r="F47" s="109">
        <v>0.1</v>
      </c>
      <c r="G47" s="110">
        <v>53.440601419197854</v>
      </c>
      <c r="H47" s="114">
        <v>1.53512503841349</v>
      </c>
      <c r="J47" s="10"/>
      <c r="K47" s="6"/>
    </row>
    <row r="48" spans="1:11" x14ac:dyDescent="0.2">
      <c r="A48" s="107">
        <v>2062</v>
      </c>
      <c r="B48" s="107">
        <v>42</v>
      </c>
      <c r="C48" s="108">
        <v>0.43826827783124789</v>
      </c>
      <c r="D48" s="108">
        <v>1.7261642837122619</v>
      </c>
      <c r="E48" s="108">
        <v>50.308529210255763</v>
      </c>
      <c r="F48" s="109">
        <v>0.1</v>
      </c>
      <c r="G48" s="110">
        <v>55.339382131281347</v>
      </c>
      <c r="H48" s="114">
        <v>1.5652682465040999</v>
      </c>
      <c r="J48" s="10"/>
      <c r="K48" s="6"/>
    </row>
    <row r="49" spans="1:11" x14ac:dyDescent="0.2">
      <c r="A49" s="107">
        <v>2063</v>
      </c>
      <c r="B49" s="107">
        <v>43</v>
      </c>
      <c r="C49" s="108">
        <v>0.43233427793798146</v>
      </c>
      <c r="D49" s="108">
        <v>1.7606875693865072</v>
      </c>
      <c r="E49" s="108">
        <v>52.069216779642268</v>
      </c>
      <c r="F49" s="109">
        <v>0.1</v>
      </c>
      <c r="G49" s="110">
        <v>57.2761384576065</v>
      </c>
      <c r="H49" s="114">
        <v>1.5958088419255401</v>
      </c>
      <c r="J49" s="10"/>
      <c r="K49" s="6"/>
    </row>
    <row r="50" spans="1:11" x14ac:dyDescent="0.2">
      <c r="A50" s="107">
        <v>2064</v>
      </c>
      <c r="B50" s="107">
        <v>44</v>
      </c>
      <c r="C50" s="108">
        <v>0.42648062233727368</v>
      </c>
      <c r="D50" s="108">
        <v>1.7959013207742374</v>
      </c>
      <c r="E50" s="108">
        <v>53.865118100416503</v>
      </c>
      <c r="F50" s="109">
        <v>0.1</v>
      </c>
      <c r="G50" s="110">
        <v>59.251629910458156</v>
      </c>
      <c r="H50" s="114">
        <v>1.62675226865943</v>
      </c>
      <c r="J50" s="10"/>
      <c r="K50" s="6"/>
    </row>
    <row r="51" spans="1:11" x14ac:dyDescent="0.2">
      <c r="A51" s="107">
        <v>2065</v>
      </c>
      <c r="B51" s="107">
        <v>45</v>
      </c>
      <c r="C51" s="108">
        <v>0.42070622319537654</v>
      </c>
      <c r="D51" s="108">
        <v>1.8318193471897222</v>
      </c>
      <c r="E51" s="108">
        <v>55.696937447606224</v>
      </c>
      <c r="F51" s="109">
        <v>0.1</v>
      </c>
      <c r="G51" s="110">
        <v>61.266631192366852</v>
      </c>
      <c r="H51" s="114">
        <v>1.65810382518273</v>
      </c>
      <c r="J51" s="10"/>
      <c r="K51" s="6"/>
    </row>
    <row r="52" spans="1:11" x14ac:dyDescent="0.2">
      <c r="A52" s="6"/>
      <c r="B52" s="6"/>
      <c r="C52" s="6"/>
      <c r="D52" s="6"/>
      <c r="E52" s="6"/>
      <c r="F52" s="6"/>
      <c r="G52" s="6"/>
      <c r="H52" s="6"/>
      <c r="J52" s="10"/>
      <c r="K52" s="6"/>
    </row>
    <row r="53" spans="1:11" x14ac:dyDescent="0.2">
      <c r="A53" s="11" t="s">
        <v>21</v>
      </c>
      <c r="B53" s="6"/>
      <c r="C53" s="6"/>
      <c r="D53" s="6"/>
      <c r="E53" s="12">
        <v>3.4000000000000002E-2</v>
      </c>
      <c r="F53" s="12"/>
      <c r="G53" s="12"/>
      <c r="H53" s="12"/>
      <c r="J53" s="10"/>
      <c r="K53" s="6"/>
    </row>
    <row r="54" spans="1:11" x14ac:dyDescent="0.2">
      <c r="C54" s="7" t="s">
        <v>22</v>
      </c>
      <c r="E54" s="13">
        <v>3.4000000000000002E-2</v>
      </c>
      <c r="J54" s="10"/>
      <c r="K54" s="6"/>
    </row>
    <row r="55" spans="1:11" x14ac:dyDescent="0.2">
      <c r="C55" s="7" t="s">
        <v>23</v>
      </c>
      <c r="E55" s="14">
        <v>4.1700000000000001E-2</v>
      </c>
      <c r="I55" s="6"/>
      <c r="J55" s="6"/>
      <c r="K55" s="6"/>
    </row>
    <row r="56" spans="1:11" x14ac:dyDescent="0.2">
      <c r="C56" s="7" t="s">
        <v>24</v>
      </c>
      <c r="E56" s="15">
        <v>0.02</v>
      </c>
      <c r="F56" s="16" t="s">
        <v>25</v>
      </c>
      <c r="G56" s="16"/>
      <c r="H56" s="16"/>
      <c r="I56" s="6"/>
      <c r="J56" s="6"/>
      <c r="K56" s="6"/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AC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keywords>Unrestricted</cp:keywords>
  <cp:lastModifiedBy>Storvick, Jon</cp:lastModifiedBy>
  <cp:lastPrinted>2017-01-26T18:03:28Z</cp:lastPrinted>
  <dcterms:created xsi:type="dcterms:W3CDTF">2009-05-07T23:09:45Z</dcterms:created>
  <dcterms:modified xsi:type="dcterms:W3CDTF">2022-04-20T00:43:00Z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ACCT04\e320856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>_x000d_
_x000d_
</vt:lpwstr>
  </property>
  <property fmtid="{D5CDD505-2E9C-101B-9397-08002B2CF9AE}" pid="14" name="ExpCountry">
    <vt:lpwstr/>
  </property>
</Properties>
</file>