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cngc-sea-fp1\Data\Dept\Rates\ENERGY EFFICIENCY\ANNUAL REPORTING\Annual Report 2021\Work Papers_Master Copies\"/>
    </mc:Choice>
  </mc:AlternateContent>
  <xr:revisionPtr revIDLastSave="0" documentId="13_ncr:1_{59A2E2C9-DB8F-43A1-96A5-487D51161685}" xr6:coauthVersionLast="47" xr6:coauthVersionMax="47" xr10:uidLastSave="{00000000-0000-0000-0000-000000000000}"/>
  <bookViews>
    <workbookView xWindow="6570" yWindow="1125" windowWidth="29640" windowHeight="17025" xr2:uid="{00000000-000D-0000-FFFF-FFFF00000000}"/>
  </bookViews>
  <sheets>
    <sheet name="TOTAL FIRST YEAR" sheetId="3" r:id="rId1"/>
    <sheet name="APP 2885" sheetId="8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'TOTAL FIRST YEAR'!$A$3:$Z$3</definedName>
    <definedName name="AC">'APP 2885'!$B$7:$H$51</definedName>
    <definedName name="DiscountRate">[1]Constants!$A$5</definedName>
    <definedName name="Elect_Avoided_Cost">'[2]Load Profiles'!$G$2:$Z$74</definedName>
    <definedName name="Electric_Load_Profiles">'[2]Load Profiles'!$A$3:$D$20</definedName>
    <definedName name="Existing_Process">"Gas_Capacity_Factors"</definedName>
    <definedName name="Gas_Avoided_Cost">'[2]Load Profiles'!$AB$3:$AE$79</definedName>
    <definedName name="Gas_Cap_Factor">'[2]Load Profiles'!$X$4:$Y$25</definedName>
    <definedName name="Index_No.">"Gas_Avoided_Cost"</definedName>
    <definedName name="Inflation">'[3]Rates&amp;NEB'!$B$7</definedName>
    <definedName name="LTdiscount">'[3]Rates&amp;NEB'!$B$9</definedName>
    <definedName name="NEPercentage">'[3]Rates&amp;NEB'!$B$13</definedName>
    <definedName name="NomInt">'[3]Rates&amp;NEB'!$B$5</definedName>
    <definedName name="OffsetAnchor" localSheetId="0">'TOTAL FIRST YEAR'!#REF!</definedName>
    <definedName name="_xlnm.Print_Area" localSheetId="0">'TOTAL FIRST YEAR'!$B$1:$Z$82</definedName>
    <definedName name="SSMeasures">[4]Sheet4!$A$5:$G$115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3" l="1"/>
  <c r="O6" i="3" s="1"/>
  <c r="L6" i="3"/>
  <c r="R7" i="3"/>
  <c r="L7" i="3"/>
  <c r="R8" i="3"/>
  <c r="V8" i="3" s="1"/>
  <c r="L8" i="3"/>
  <c r="L9" i="3"/>
  <c r="R10" i="3"/>
  <c r="L10" i="3"/>
  <c r="L11" i="3"/>
  <c r="L12" i="3"/>
  <c r="R13" i="3"/>
  <c r="L13" i="3"/>
  <c r="R14" i="3"/>
  <c r="L14" i="3"/>
  <c r="R15" i="3"/>
  <c r="L15" i="3"/>
  <c r="R16" i="3"/>
  <c r="L16" i="3"/>
  <c r="R17" i="3"/>
  <c r="L17" i="3"/>
  <c r="L18" i="3"/>
  <c r="R19" i="3"/>
  <c r="V19" i="3" s="1"/>
  <c r="L19" i="3"/>
  <c r="R20" i="3"/>
  <c r="L20" i="3"/>
  <c r="R21" i="3"/>
  <c r="V21" i="3" s="1"/>
  <c r="L21" i="3"/>
  <c r="L22" i="3"/>
  <c r="R23" i="3"/>
  <c r="L23" i="3"/>
  <c r="R24" i="3"/>
  <c r="L24" i="3"/>
  <c r="R25" i="3"/>
  <c r="V25" i="3" s="1"/>
  <c r="L25" i="3"/>
  <c r="L26" i="3"/>
  <c r="R27" i="3"/>
  <c r="V27" i="3" s="1"/>
  <c r="L27" i="3"/>
  <c r="R28" i="3"/>
  <c r="L28" i="3"/>
  <c r="R29" i="3"/>
  <c r="V29" i="3" s="1"/>
  <c r="L29" i="3"/>
  <c r="L30" i="3"/>
  <c r="R31" i="3"/>
  <c r="V31" i="3" s="1"/>
  <c r="L31" i="3"/>
  <c r="R32" i="3"/>
  <c r="L32" i="3"/>
  <c r="R33" i="3"/>
  <c r="L33" i="3"/>
  <c r="R34" i="3"/>
  <c r="L34" i="3"/>
  <c r="R35" i="3"/>
  <c r="V35" i="3" s="1"/>
  <c r="L35" i="3"/>
  <c r="R36" i="3"/>
  <c r="L36" i="3"/>
  <c r="R37" i="3"/>
  <c r="L37" i="3"/>
  <c r="R38" i="3"/>
  <c r="L38" i="3"/>
  <c r="R39" i="3"/>
  <c r="L39" i="3"/>
  <c r="R40" i="3"/>
  <c r="L40" i="3"/>
  <c r="R41" i="3"/>
  <c r="L41" i="3"/>
  <c r="R42" i="3"/>
  <c r="L42" i="3"/>
  <c r="R43" i="3"/>
  <c r="L43" i="3"/>
  <c r="R44" i="3"/>
  <c r="L44" i="3"/>
  <c r="R45" i="3"/>
  <c r="L45" i="3"/>
  <c r="R46" i="3"/>
  <c r="L46" i="3"/>
  <c r="R47" i="3"/>
  <c r="V47" i="3" s="1"/>
  <c r="L47" i="3"/>
  <c r="R48" i="3"/>
  <c r="L48" i="3"/>
  <c r="L49" i="3"/>
  <c r="L50" i="3"/>
  <c r="L51" i="3"/>
  <c r="L52" i="3"/>
  <c r="L53" i="3"/>
  <c r="I54" i="3"/>
  <c r="O54" i="3" s="1"/>
  <c r="L54" i="3"/>
  <c r="I55" i="3"/>
  <c r="O55" i="3" s="1"/>
  <c r="L55" i="3"/>
  <c r="R56" i="3"/>
  <c r="L56" i="3"/>
  <c r="L57" i="3"/>
  <c r="L58" i="3"/>
  <c r="M59" i="3"/>
  <c r="I60" i="3"/>
  <c r="K60" i="3"/>
  <c r="L60" i="3"/>
  <c r="M60" i="3" s="1"/>
  <c r="I61" i="3"/>
  <c r="K61" i="3"/>
  <c r="L61" i="3"/>
  <c r="M61" i="3" s="1"/>
  <c r="I62" i="3"/>
  <c r="K62" i="3"/>
  <c r="L62" i="3"/>
  <c r="M62" i="3" s="1"/>
  <c r="I63" i="3"/>
  <c r="K63" i="3"/>
  <c r="L63" i="3"/>
  <c r="M63" i="3" s="1"/>
  <c r="I64" i="3"/>
  <c r="K64" i="3"/>
  <c r="L64" i="3"/>
  <c r="M64" i="3" s="1"/>
  <c r="I65" i="3"/>
  <c r="K65" i="3"/>
  <c r="L65" i="3"/>
  <c r="M65" i="3" s="1"/>
  <c r="I66" i="3"/>
  <c r="K66" i="3"/>
  <c r="L66" i="3"/>
  <c r="M66" i="3" s="1"/>
  <c r="I67" i="3"/>
  <c r="K67" i="3"/>
  <c r="L67" i="3"/>
  <c r="M67" i="3" s="1"/>
  <c r="I68" i="3"/>
  <c r="K68" i="3"/>
  <c r="L68" i="3"/>
  <c r="M68" i="3" s="1"/>
  <c r="I4" i="3"/>
  <c r="L4" i="3"/>
  <c r="L5" i="3"/>
  <c r="V48" i="3" l="1"/>
  <c r="O62" i="3"/>
  <c r="T62" i="3" s="1"/>
  <c r="V13" i="3"/>
  <c r="O67" i="3"/>
  <c r="X67" i="3" s="1"/>
  <c r="V42" i="3"/>
  <c r="V24" i="3"/>
  <c r="V7" i="3"/>
  <c r="O65" i="3"/>
  <c r="T65" i="3" s="1"/>
  <c r="V44" i="3"/>
  <c r="V36" i="3"/>
  <c r="V28" i="3"/>
  <c r="V20" i="3"/>
  <c r="O64" i="3"/>
  <c r="T64" i="3" s="1"/>
  <c r="O66" i="3"/>
  <c r="T66" i="3" s="1"/>
  <c r="V17" i="3"/>
  <c r="V46" i="3"/>
  <c r="V14" i="3"/>
  <c r="O63" i="3"/>
  <c r="T63" i="3" s="1"/>
  <c r="O68" i="3"/>
  <c r="T68" i="3" s="1"/>
  <c r="O60" i="3"/>
  <c r="T60" i="3" s="1"/>
  <c r="R54" i="3"/>
  <c r="E70" i="3"/>
  <c r="M58" i="3"/>
  <c r="Z58" i="3" s="1"/>
  <c r="M53" i="3"/>
  <c r="Z53" i="3" s="1"/>
  <c r="M5" i="3"/>
  <c r="Z5" i="3" s="1"/>
  <c r="I58" i="3"/>
  <c r="O58" i="3" s="1"/>
  <c r="U6" i="3"/>
  <c r="Y6" i="3"/>
  <c r="R55" i="3"/>
  <c r="R6" i="3"/>
  <c r="M55" i="3"/>
  <c r="Z55" i="3" s="1"/>
  <c r="O61" i="3"/>
  <c r="T61" i="3" s="1"/>
  <c r="R58" i="3"/>
  <c r="I53" i="3"/>
  <c r="O53" i="3" s="1"/>
  <c r="M56" i="3"/>
  <c r="Z56" i="3" s="1"/>
  <c r="M54" i="3"/>
  <c r="I51" i="3"/>
  <c r="K51" i="3"/>
  <c r="M51" i="3"/>
  <c r="R51" i="3"/>
  <c r="X60" i="3"/>
  <c r="R57" i="3"/>
  <c r="I57" i="3"/>
  <c r="M57" i="3"/>
  <c r="Z57" i="3" s="1"/>
  <c r="I49" i="3"/>
  <c r="K49" i="3"/>
  <c r="M49" i="3"/>
  <c r="R49" i="3"/>
  <c r="Y54" i="3"/>
  <c r="U54" i="3"/>
  <c r="X62" i="3"/>
  <c r="X64" i="3"/>
  <c r="I52" i="3"/>
  <c r="M52" i="3"/>
  <c r="Z52" i="3" s="1"/>
  <c r="R52" i="3"/>
  <c r="I50" i="3"/>
  <c r="K50" i="3"/>
  <c r="M50" i="3"/>
  <c r="R50" i="3"/>
  <c r="Y55" i="3"/>
  <c r="U55" i="3"/>
  <c r="I46" i="3"/>
  <c r="K46" i="3"/>
  <c r="M46" i="3"/>
  <c r="Z46" i="3" s="1"/>
  <c r="I34" i="3"/>
  <c r="K34" i="3"/>
  <c r="M34" i="3"/>
  <c r="I22" i="3"/>
  <c r="K22" i="3"/>
  <c r="M22" i="3"/>
  <c r="Z22" i="3" s="1"/>
  <c r="I18" i="3"/>
  <c r="K18" i="3"/>
  <c r="M18" i="3"/>
  <c r="Z18" i="3" s="1"/>
  <c r="I11" i="3"/>
  <c r="K11" i="3"/>
  <c r="M11" i="3"/>
  <c r="Z11" i="3" s="1"/>
  <c r="I38" i="3"/>
  <c r="K38" i="3"/>
  <c r="M38" i="3"/>
  <c r="I26" i="3"/>
  <c r="K26" i="3"/>
  <c r="M26" i="3"/>
  <c r="Z26" i="3" s="1"/>
  <c r="I10" i="3"/>
  <c r="K10" i="3"/>
  <c r="M10" i="3"/>
  <c r="I42" i="3"/>
  <c r="K42" i="3"/>
  <c r="M42" i="3"/>
  <c r="Z42" i="3" s="1"/>
  <c r="I30" i="3"/>
  <c r="K30" i="3"/>
  <c r="M30" i="3"/>
  <c r="I56" i="3"/>
  <c r="R53" i="3"/>
  <c r="V53" i="3" s="1"/>
  <c r="I45" i="3"/>
  <c r="K45" i="3"/>
  <c r="M45" i="3"/>
  <c r="I41" i="3"/>
  <c r="K41" i="3"/>
  <c r="M41" i="3"/>
  <c r="I37" i="3"/>
  <c r="K37" i="3"/>
  <c r="M37" i="3"/>
  <c r="I33" i="3"/>
  <c r="K33" i="3"/>
  <c r="M33" i="3"/>
  <c r="I29" i="3"/>
  <c r="K29" i="3"/>
  <c r="M29" i="3"/>
  <c r="Z29" i="3" s="1"/>
  <c r="I25" i="3"/>
  <c r="K25" i="3"/>
  <c r="M25" i="3"/>
  <c r="Z25" i="3" s="1"/>
  <c r="I21" i="3"/>
  <c r="K21" i="3"/>
  <c r="M21" i="3"/>
  <c r="Z21" i="3" s="1"/>
  <c r="I17" i="3"/>
  <c r="K17" i="3"/>
  <c r="M17" i="3"/>
  <c r="Z17" i="3" s="1"/>
  <c r="I9" i="3"/>
  <c r="K9" i="3"/>
  <c r="M9" i="3"/>
  <c r="Z9" i="3" s="1"/>
  <c r="I12" i="3"/>
  <c r="K12" i="3"/>
  <c r="M12" i="3"/>
  <c r="I16" i="3"/>
  <c r="K16" i="3"/>
  <c r="M16" i="3"/>
  <c r="R12" i="3"/>
  <c r="I8" i="3"/>
  <c r="K8" i="3"/>
  <c r="M8" i="3"/>
  <c r="Z8" i="3" s="1"/>
  <c r="I32" i="3"/>
  <c r="K32" i="3"/>
  <c r="M32" i="3"/>
  <c r="R30" i="3"/>
  <c r="I28" i="3"/>
  <c r="K28" i="3"/>
  <c r="M28" i="3"/>
  <c r="Z28" i="3" s="1"/>
  <c r="R26" i="3"/>
  <c r="V26" i="3" s="1"/>
  <c r="I24" i="3"/>
  <c r="K24" i="3"/>
  <c r="M24" i="3"/>
  <c r="Z24" i="3" s="1"/>
  <c r="R22" i="3"/>
  <c r="V22" i="3" s="1"/>
  <c r="I20" i="3"/>
  <c r="K20" i="3"/>
  <c r="M20" i="3"/>
  <c r="Z20" i="3" s="1"/>
  <c r="R18" i="3"/>
  <c r="V18" i="3" s="1"/>
  <c r="I15" i="3"/>
  <c r="K15" i="3"/>
  <c r="M15" i="3"/>
  <c r="R11" i="3"/>
  <c r="V11" i="3" s="1"/>
  <c r="I7" i="3"/>
  <c r="K7" i="3"/>
  <c r="M7" i="3"/>
  <c r="Z7" i="3" s="1"/>
  <c r="I48" i="3"/>
  <c r="K48" i="3"/>
  <c r="M48" i="3"/>
  <c r="Z48" i="3" s="1"/>
  <c r="I40" i="3"/>
  <c r="K40" i="3"/>
  <c r="M40" i="3"/>
  <c r="I14" i="3"/>
  <c r="K14" i="3"/>
  <c r="M14" i="3"/>
  <c r="Z14" i="3" s="1"/>
  <c r="I44" i="3"/>
  <c r="K44" i="3"/>
  <c r="M44" i="3"/>
  <c r="Z44" i="3" s="1"/>
  <c r="I36" i="3"/>
  <c r="K36" i="3"/>
  <c r="M36" i="3"/>
  <c r="Z36" i="3" s="1"/>
  <c r="I47" i="3"/>
  <c r="K47" i="3"/>
  <c r="M47" i="3"/>
  <c r="Z47" i="3" s="1"/>
  <c r="I43" i="3"/>
  <c r="K43" i="3"/>
  <c r="M43" i="3"/>
  <c r="I39" i="3"/>
  <c r="K39" i="3"/>
  <c r="M39" i="3"/>
  <c r="I35" i="3"/>
  <c r="K35" i="3"/>
  <c r="M35" i="3"/>
  <c r="Z35" i="3" s="1"/>
  <c r="I31" i="3"/>
  <c r="K31" i="3"/>
  <c r="M31" i="3"/>
  <c r="Z31" i="3" s="1"/>
  <c r="I27" i="3"/>
  <c r="K27" i="3"/>
  <c r="M27" i="3"/>
  <c r="Z27" i="3" s="1"/>
  <c r="I23" i="3"/>
  <c r="K23" i="3"/>
  <c r="M23" i="3"/>
  <c r="I19" i="3"/>
  <c r="K19" i="3"/>
  <c r="M19" i="3"/>
  <c r="Z19" i="3" s="1"/>
  <c r="I13" i="3"/>
  <c r="K13" i="3"/>
  <c r="M13" i="3"/>
  <c r="Z13" i="3" s="1"/>
  <c r="R9" i="3"/>
  <c r="V9" i="3" s="1"/>
  <c r="M6" i="3"/>
  <c r="Z6" i="3" s="1"/>
  <c r="K6" i="3"/>
  <c r="O4" i="3"/>
  <c r="K5" i="3"/>
  <c r="R4" i="3"/>
  <c r="I5" i="3"/>
  <c r="M4" i="3"/>
  <c r="K4" i="3"/>
  <c r="R5" i="3"/>
  <c r="V5" i="3" s="1"/>
  <c r="X65" i="3" l="1"/>
  <c r="R70" i="3"/>
  <c r="T67" i="3"/>
  <c r="X53" i="3"/>
  <c r="V55" i="3"/>
  <c r="X54" i="3"/>
  <c r="Z54" i="3"/>
  <c r="V6" i="3"/>
  <c r="X66" i="3"/>
  <c r="X63" i="3"/>
  <c r="X68" i="3"/>
  <c r="T55" i="3"/>
  <c r="T54" i="3"/>
  <c r="I70" i="3"/>
  <c r="T6" i="3"/>
  <c r="X55" i="3"/>
  <c r="X61" i="3"/>
  <c r="M70" i="3"/>
  <c r="N70" i="3"/>
  <c r="K70" i="3"/>
  <c r="T58" i="3"/>
  <c r="O23" i="3"/>
  <c r="X23" i="3" s="1"/>
  <c r="O48" i="3"/>
  <c r="X48" i="3" s="1"/>
  <c r="O40" i="3"/>
  <c r="X40" i="3" s="1"/>
  <c r="O29" i="3"/>
  <c r="X29" i="3" s="1"/>
  <c r="O22" i="3"/>
  <c r="X22" i="3" s="1"/>
  <c r="O27" i="3"/>
  <c r="X27" i="3" s="1"/>
  <c r="T53" i="3"/>
  <c r="O38" i="3"/>
  <c r="X38" i="3" s="1"/>
  <c r="O57" i="3"/>
  <c r="O36" i="3"/>
  <c r="X36" i="3" s="1"/>
  <c r="O16" i="3"/>
  <c r="O9" i="3"/>
  <c r="T9" i="3" s="1"/>
  <c r="O21" i="3"/>
  <c r="O42" i="3"/>
  <c r="O50" i="3"/>
  <c r="T50" i="3" s="1"/>
  <c r="O49" i="3"/>
  <c r="X49" i="3" s="1"/>
  <c r="O13" i="3"/>
  <c r="X13" i="3" s="1"/>
  <c r="O35" i="3"/>
  <c r="X35" i="3" s="1"/>
  <c r="O43" i="3"/>
  <c r="O14" i="3"/>
  <c r="X14" i="3" s="1"/>
  <c r="O15" i="3"/>
  <c r="O24" i="3"/>
  <c r="X24" i="3" s="1"/>
  <c r="O32" i="3"/>
  <c r="O33" i="3"/>
  <c r="X33" i="3" s="1"/>
  <c r="O41" i="3"/>
  <c r="O56" i="3"/>
  <c r="O18" i="3"/>
  <c r="T18" i="3" s="1"/>
  <c r="O34" i="3"/>
  <c r="O52" i="3"/>
  <c r="T52" i="3" s="1"/>
  <c r="Y58" i="3"/>
  <c r="U58" i="3"/>
  <c r="O25" i="3"/>
  <c r="X25" i="3" s="1"/>
  <c r="X6" i="3"/>
  <c r="O31" i="3"/>
  <c r="X31" i="3" s="1"/>
  <c r="O44" i="3"/>
  <c r="X44" i="3" s="1"/>
  <c r="O8" i="3"/>
  <c r="O26" i="3"/>
  <c r="T26" i="3" s="1"/>
  <c r="O19" i="3"/>
  <c r="X19" i="3" s="1"/>
  <c r="O39" i="3"/>
  <c r="O47" i="3"/>
  <c r="O7" i="3"/>
  <c r="X7" i="3" s="1"/>
  <c r="O20" i="3"/>
  <c r="X20" i="3" s="1"/>
  <c r="O28" i="3"/>
  <c r="X28" i="3" s="1"/>
  <c r="O12" i="3"/>
  <c r="X12" i="3" s="1"/>
  <c r="O17" i="3"/>
  <c r="X17" i="3" s="1"/>
  <c r="O37" i="3"/>
  <c r="O45" i="3"/>
  <c r="X45" i="3" s="1"/>
  <c r="O30" i="3"/>
  <c r="X30" i="3" s="1"/>
  <c r="O10" i="3"/>
  <c r="O11" i="3"/>
  <c r="T11" i="3" s="1"/>
  <c r="O46" i="3"/>
  <c r="Y53" i="3"/>
  <c r="U53" i="3"/>
  <c r="X58" i="3"/>
  <c r="O51" i="3"/>
  <c r="X51" i="3" s="1"/>
  <c r="T4" i="3"/>
  <c r="O5" i="3"/>
  <c r="U5" i="3" s="1"/>
  <c r="S70" i="3" l="1"/>
  <c r="T49" i="3"/>
  <c r="O70" i="3"/>
  <c r="X70" i="3" s="1"/>
  <c r="X18" i="3"/>
  <c r="T12" i="3"/>
  <c r="T37" i="3"/>
  <c r="T41" i="3"/>
  <c r="T32" i="3"/>
  <c r="T43" i="3"/>
  <c r="T16" i="3"/>
  <c r="U57" i="3"/>
  <c r="Y57" i="3"/>
  <c r="U8" i="3"/>
  <c r="Y8" i="3"/>
  <c r="T8" i="3"/>
  <c r="U22" i="3"/>
  <c r="Y22" i="3"/>
  <c r="X9" i="3"/>
  <c r="T22" i="3"/>
  <c r="X52" i="3"/>
  <c r="U24" i="3"/>
  <c r="Y24" i="3"/>
  <c r="T24" i="3"/>
  <c r="U35" i="3"/>
  <c r="Y35" i="3"/>
  <c r="T35" i="3"/>
  <c r="U42" i="3"/>
  <c r="Y42" i="3"/>
  <c r="T42" i="3"/>
  <c r="T38" i="3"/>
  <c r="U48" i="3"/>
  <c r="Y48" i="3"/>
  <c r="T48" i="3"/>
  <c r="U19" i="3"/>
  <c r="Y19" i="3"/>
  <c r="T19" i="3"/>
  <c r="U28" i="3"/>
  <c r="Y28" i="3"/>
  <c r="T28" i="3"/>
  <c r="T34" i="3"/>
  <c r="U46" i="3"/>
  <c r="Y46" i="3"/>
  <c r="T46" i="3"/>
  <c r="T17" i="3"/>
  <c r="U47" i="3"/>
  <c r="Y47" i="3"/>
  <c r="T47" i="3"/>
  <c r="X46" i="3"/>
  <c r="X47" i="3"/>
  <c r="T33" i="3"/>
  <c r="X32" i="3"/>
  <c r="X43" i="3"/>
  <c r="X57" i="3"/>
  <c r="X42" i="3"/>
  <c r="X16" i="3"/>
  <c r="U20" i="3"/>
  <c r="Y20" i="3"/>
  <c r="T20" i="3"/>
  <c r="U18" i="3"/>
  <c r="Y18" i="3"/>
  <c r="T15" i="3"/>
  <c r="U13" i="3"/>
  <c r="Y13" i="3"/>
  <c r="T13" i="3"/>
  <c r="U21" i="3"/>
  <c r="Y21" i="3"/>
  <c r="T21" i="3"/>
  <c r="U36" i="3"/>
  <c r="Y36" i="3"/>
  <c r="T36" i="3"/>
  <c r="T10" i="3"/>
  <c r="U52" i="3"/>
  <c r="Y52" i="3"/>
  <c r="U11" i="3"/>
  <c r="Y11" i="3"/>
  <c r="T45" i="3"/>
  <c r="T39" i="3"/>
  <c r="U26" i="3"/>
  <c r="Y26" i="3"/>
  <c r="U44" i="3"/>
  <c r="Y44" i="3"/>
  <c r="T44" i="3"/>
  <c r="X11" i="3"/>
  <c r="X37" i="3"/>
  <c r="X39" i="3"/>
  <c r="U56" i="3"/>
  <c r="X56" i="3"/>
  <c r="Y56" i="3"/>
  <c r="T56" i="3"/>
  <c r="U29" i="3"/>
  <c r="Y29" i="3"/>
  <c r="T29" i="3"/>
  <c r="X8" i="3"/>
  <c r="T23" i="3"/>
  <c r="T57" i="3"/>
  <c r="U9" i="3"/>
  <c r="Y9" i="3"/>
  <c r="U7" i="3"/>
  <c r="Y7" i="3"/>
  <c r="T7" i="3"/>
  <c r="U14" i="3"/>
  <c r="Y14" i="3"/>
  <c r="T14" i="3"/>
  <c r="X34" i="3"/>
  <c r="T30" i="3"/>
  <c r="T40" i="3"/>
  <c r="X26" i="3"/>
  <c r="U31" i="3"/>
  <c r="Y31" i="3"/>
  <c r="T31" i="3"/>
  <c r="X10" i="3"/>
  <c r="U25" i="3"/>
  <c r="Y25" i="3"/>
  <c r="T25" i="3"/>
  <c r="T51" i="3"/>
  <c r="X41" i="3"/>
  <c r="X15" i="3"/>
  <c r="U27" i="3"/>
  <c r="Y27" i="3"/>
  <c r="T27" i="3"/>
  <c r="X50" i="3"/>
  <c r="X21" i="3"/>
  <c r="T5" i="3"/>
  <c r="T70" i="3" l="1"/>
  <c r="B76" i="3"/>
  <c r="P61" i="3" l="1"/>
  <c r="P63" i="3"/>
  <c r="P68" i="3"/>
  <c r="P64" i="3"/>
  <c r="P67" i="3"/>
  <c r="P60" i="3"/>
  <c r="P65" i="3"/>
  <c r="P62" i="3"/>
  <c r="P66" i="3"/>
  <c r="B77" i="3"/>
  <c r="Z62" i="3" l="1"/>
  <c r="V62" i="3"/>
  <c r="V65" i="3"/>
  <c r="Z65" i="3"/>
  <c r="Z60" i="3"/>
  <c r="V60" i="3"/>
  <c r="Z67" i="3"/>
  <c r="V67" i="3"/>
  <c r="Z64" i="3"/>
  <c r="V64" i="3"/>
  <c r="V68" i="3"/>
  <c r="Z68" i="3"/>
  <c r="Z63" i="3"/>
  <c r="V63" i="3"/>
  <c r="V66" i="3"/>
  <c r="Z66" i="3"/>
  <c r="Z61" i="3"/>
  <c r="V61" i="3"/>
  <c r="U60" i="3"/>
  <c r="Y60" i="3"/>
  <c r="Y62" i="3"/>
  <c r="U62" i="3"/>
  <c r="U64" i="3"/>
  <c r="Y64" i="3"/>
  <c r="U65" i="3"/>
  <c r="Y65" i="3"/>
  <c r="Y67" i="3"/>
  <c r="U67" i="3"/>
  <c r="Y68" i="3"/>
  <c r="U68" i="3"/>
  <c r="P29" i="3"/>
  <c r="P38" i="3"/>
  <c r="P13" i="3"/>
  <c r="P15" i="3"/>
  <c r="P33" i="3"/>
  <c r="P7" i="3"/>
  <c r="P12" i="3"/>
  <c r="P30" i="3"/>
  <c r="P5" i="3"/>
  <c r="P18" i="3"/>
  <c r="P23" i="3"/>
  <c r="P53" i="3"/>
  <c r="P16" i="3"/>
  <c r="P58" i="3"/>
  <c r="V58" i="3" s="1"/>
  <c r="P31" i="3"/>
  <c r="P39" i="3"/>
  <c r="P10" i="3"/>
  <c r="P4" i="3"/>
  <c r="P11" i="3"/>
  <c r="P57" i="3"/>
  <c r="V57" i="3" s="1"/>
  <c r="P9" i="3"/>
  <c r="P35" i="3"/>
  <c r="P24" i="3"/>
  <c r="P41" i="3"/>
  <c r="P26" i="3"/>
  <c r="P20" i="3"/>
  <c r="P17" i="3"/>
  <c r="P51" i="3"/>
  <c r="P22" i="3"/>
  <c r="P50" i="3"/>
  <c r="P56" i="3"/>
  <c r="V56" i="3" s="1"/>
  <c r="P34" i="3"/>
  <c r="P25" i="3"/>
  <c r="P44" i="3"/>
  <c r="P47" i="3"/>
  <c r="P36" i="3"/>
  <c r="P21" i="3"/>
  <c r="P49" i="3"/>
  <c r="P52" i="3"/>
  <c r="V52" i="3" s="1"/>
  <c r="P19" i="3"/>
  <c r="P55" i="3"/>
  <c r="P43" i="3"/>
  <c r="P32" i="3"/>
  <c r="P54" i="3"/>
  <c r="V54" i="3" s="1"/>
  <c r="P28" i="3"/>
  <c r="P37" i="3"/>
  <c r="P45" i="3"/>
  <c r="P27" i="3"/>
  <c r="P42" i="3"/>
  <c r="P48" i="3"/>
  <c r="P40" i="3"/>
  <c r="P14" i="3"/>
  <c r="P8" i="3"/>
  <c r="P6" i="3"/>
  <c r="P46" i="3"/>
  <c r="U63" i="3"/>
  <c r="Y63" i="3"/>
  <c r="U66" i="3"/>
  <c r="Y66" i="3"/>
  <c r="Y61" i="3"/>
  <c r="U61" i="3"/>
  <c r="V43" i="3" l="1"/>
  <c r="Z43" i="3"/>
  <c r="V38" i="3"/>
  <c r="Z38" i="3"/>
  <c r="Z10" i="3"/>
  <c r="V10" i="3"/>
  <c r="V34" i="3"/>
  <c r="Z34" i="3"/>
  <c r="V41" i="3"/>
  <c r="Z41" i="3"/>
  <c r="V39" i="3"/>
  <c r="Z39" i="3"/>
  <c r="Z30" i="3"/>
  <c r="V30" i="3"/>
  <c r="V12" i="3"/>
  <c r="Z12" i="3"/>
  <c r="V37" i="3"/>
  <c r="Z37" i="3"/>
  <c r="Z50" i="3"/>
  <c r="V50" i="3"/>
  <c r="V16" i="3"/>
  <c r="Z16" i="3"/>
  <c r="V33" i="3"/>
  <c r="Z33" i="3"/>
  <c r="P70" i="3"/>
  <c r="V45" i="3"/>
  <c r="Z45" i="3"/>
  <c r="Z49" i="3"/>
  <c r="V49" i="3"/>
  <c r="Z15" i="3"/>
  <c r="V15" i="3"/>
  <c r="V4" i="3"/>
  <c r="U4" i="3"/>
  <c r="Z4" i="3"/>
  <c r="Z51" i="3"/>
  <c r="V51" i="3"/>
  <c r="Z40" i="3"/>
  <c r="V40" i="3"/>
  <c r="Z32" i="3"/>
  <c r="V32" i="3"/>
  <c r="Z23" i="3"/>
  <c r="V23" i="3"/>
  <c r="U30" i="3"/>
  <c r="Y30" i="3"/>
  <c r="U45" i="3"/>
  <c r="Y45" i="3"/>
  <c r="U12" i="3"/>
  <c r="Y12" i="3"/>
  <c r="U34" i="3"/>
  <c r="Y34" i="3"/>
  <c r="Y37" i="3"/>
  <c r="U37" i="3"/>
  <c r="U49" i="3"/>
  <c r="Y49" i="3"/>
  <c r="U50" i="3"/>
  <c r="Y50" i="3"/>
  <c r="Y39" i="3"/>
  <c r="U39" i="3"/>
  <c r="U16" i="3"/>
  <c r="Y16" i="3"/>
  <c r="U51" i="3"/>
  <c r="Y51" i="3"/>
  <c r="U15" i="3"/>
  <c r="Y15" i="3"/>
  <c r="U41" i="3"/>
  <c r="Y41" i="3"/>
  <c r="U33" i="3"/>
  <c r="Y33" i="3"/>
  <c r="U32" i="3"/>
  <c r="Y32" i="3"/>
  <c r="U17" i="3"/>
  <c r="Y17" i="3"/>
  <c r="U23" i="3"/>
  <c r="Y23" i="3"/>
  <c r="U10" i="3"/>
  <c r="Y10" i="3"/>
  <c r="U40" i="3"/>
  <c r="Y40" i="3"/>
  <c r="Y43" i="3"/>
  <c r="U43" i="3"/>
  <c r="U38" i="3"/>
  <c r="Y38" i="3"/>
  <c r="Z70" i="3" l="1"/>
  <c r="V70" i="3"/>
  <c r="Y70" i="3"/>
  <c r="U70" i="3"/>
  <c r="K72" i="3" l="1"/>
  <c r="X4" i="3"/>
  <c r="Y5" i="3" l="1"/>
  <c r="Y4" i="3"/>
  <c r="X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tc={E3735F46-87CC-4C55-850D-14C09AAD7880}</author>
  </authors>
  <commentList>
    <comment ref="R58" authorId="0" shapeId="0" xr:uid="{E3735F46-87CC-4C55-850D-14C09AAD7880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an admin cost, not to be included in rebate total</t>
      </text>
    </comment>
  </commentList>
</comments>
</file>

<file path=xl/sharedStrings.xml><?xml version="1.0" encoding="utf-8"?>
<sst xmlns="http://schemas.openxmlformats.org/spreadsheetml/2006/main" count="355" uniqueCount="259">
  <si>
    <t>TOTAL PROGRAM</t>
  </si>
  <si>
    <t>CASCADE NATURAL GAS CORPORATION</t>
  </si>
  <si>
    <t>MEASURE</t>
  </si>
  <si>
    <t>Nominal interest rate (post tax cost of cap.)</t>
  </si>
  <si>
    <t>Inflation rate</t>
  </si>
  <si>
    <t>Long term real discount rate</t>
  </si>
  <si>
    <t>Radiant Heating</t>
  </si>
  <si>
    <t>Clothes Washer</t>
  </si>
  <si>
    <t>DESCRIPTION</t>
  </si>
  <si>
    <t>Condensing Tank</t>
  </si>
  <si>
    <t>Boiler Vent Damper</t>
  </si>
  <si>
    <t>Energy Star</t>
  </si>
  <si>
    <t>Commercial Gas Washer</t>
  </si>
  <si>
    <t>EFFICIENCY TYPE FOR QUALIFICATION</t>
  </si>
  <si>
    <t>Minimum 86% AFUE</t>
  </si>
  <si>
    <t>Minimum 92% AFUE</t>
  </si>
  <si>
    <t>None</t>
  </si>
  <si>
    <t>Minimum 91% AFUE or 91% Thermal Efficiency</t>
  </si>
  <si>
    <t>1.8 MEF</t>
  </si>
  <si>
    <t>45 YEAR RESOURCE SUMMARY COSTS - MELDED COST PER THERM</t>
  </si>
  <si>
    <t>YEAR</t>
  </si>
  <si>
    <t>Cascade's Long Term Real Discount Rate:</t>
  </si>
  <si>
    <t>IRP Discount Rate =</t>
  </si>
  <si>
    <t>Revised Discount Rate=</t>
  </si>
  <si>
    <t>Years 21-45 Escalation =</t>
  </si>
  <si>
    <t>(EIA Inflation Rate)</t>
  </si>
  <si>
    <t xml:space="preserve">COMMERCIAL Program Participant Cost Effectiveness </t>
  </si>
  <si>
    <t>/unit</t>
  </si>
  <si>
    <t>Program Year:</t>
  </si>
  <si>
    <t>Double Rack Oven</t>
  </si>
  <si>
    <t>PORTFOLIO COST APPENDIX 1 TABLE H</t>
  </si>
  <si>
    <t>Boiler</t>
  </si>
  <si>
    <t>Custom Measures</t>
  </si>
  <si>
    <t>&lt;= 1.8 gpm, Watersense Certified</t>
  </si>
  <si>
    <t>Custom Admin.</t>
  </si>
  <si>
    <t>Prescriptive Admin.</t>
  </si>
  <si>
    <t>Attic Insulation</t>
  </si>
  <si>
    <t>Demand Control Ventilation</t>
  </si>
  <si>
    <t>Gas Conveyor Oven</t>
  </si>
  <si>
    <t>Meet JUARC Guidelines for DCV RTUs in 5-20 ton</t>
  </si>
  <si>
    <t>2018 INTEGRATED RESOURCE PLAN</t>
  </si>
  <si>
    <t>Bonus - Insulation Bundle A</t>
  </si>
  <si>
    <t>Insulation Bundle A</t>
  </si>
  <si>
    <t>Two Insulation Measures, min. 1000 sq. ft.+</t>
  </si>
  <si>
    <t>Bonus - Kitchen Bundle C (3 or more measures)</t>
  </si>
  <si>
    <t>Foodservice Bundle C</t>
  </si>
  <si>
    <t>Any 3 Kitchen equipment measures</t>
  </si>
  <si>
    <t>Bonus - Kitchen Bundle B (2 - measures)</t>
  </si>
  <si>
    <t>Foodservice Bundle B</t>
  </si>
  <si>
    <t>Any 2 Kitchen equipment measures</t>
  </si>
  <si>
    <t>Energy Saver Kit A</t>
  </si>
  <si>
    <t>Low Flow Kitchen Pre Rinse Spray Valve and Bath Aerators</t>
  </si>
  <si>
    <t>PRSV &lt;=1 gpm / Aerators &lt;=.75 gpm</t>
  </si>
  <si>
    <t>/kit</t>
  </si>
  <si>
    <t>Motion Faucet Controls</t>
  </si>
  <si>
    <t>Motion Controlled Faucet</t>
  </si>
  <si>
    <t>/faucet</t>
  </si>
  <si>
    <t>Energy Saver Kit B</t>
  </si>
  <si>
    <t>Low Flow Showerheads</t>
  </si>
  <si>
    <t>Showerhead &lt;= 1.85 gpm</t>
  </si>
  <si>
    <t>DCV</t>
  </si>
  <si>
    <t>/ton</t>
  </si>
  <si>
    <t>Convection Oven (Restaurant)</t>
  </si>
  <si>
    <t>&gt;= 44% Cooking Efficiency,&lt;= 13,000 Btu/hr Idle Rate</t>
  </si>
  <si>
    <t>/oven</t>
  </si>
  <si>
    <t>Low Temp Door Dishwasher</t>
  </si>
  <si>
    <t>&lt;=.6kW Idle Rate, &lt;= 1.18 gal/rack</t>
  </si>
  <si>
    <t>FSTC Qualified</t>
  </si>
  <si>
    <t>&gt;=50% Cooking Efficiency, &lt;=35,000 Btu/hr Idle Rate</t>
  </si>
  <si>
    <t>Steamer - 6 Pan</t>
  </si>
  <si>
    <t>Connectionless Estar or CEE Qualified</t>
  </si>
  <si>
    <t>&gt;=38% Cooking Efficiency,&lt;= 2083  Btu/hr /pan Idle Rate</t>
  </si>
  <si>
    <t>Griddle (Restaurant)</t>
  </si>
  <si>
    <t>&gt;=38% Cooking Efficiency,&lt;= 2650 Btu/hr-sq ft Idle Rate</t>
  </si>
  <si>
    <t>/griddle</t>
  </si>
  <si>
    <t>Fryer (Restaurant)</t>
  </si>
  <si>
    <t>&gt;=50% Cooking Efficiency</t>
  </si>
  <si>
    <t>/fryer</t>
  </si>
  <si>
    <t>Steamer - 3 Pan</t>
  </si>
  <si>
    <t>Domestic Hot Water Tanks - Condensing</t>
  </si>
  <si>
    <t>/kBtu/hr in</t>
  </si>
  <si>
    <t>FSTC Qualified Gas Fired Conveyor Oven</t>
  </si>
  <si>
    <t>&gt;=42% Baking Efficiency</t>
  </si>
  <si>
    <t>Tankless Water Heater</t>
  </si>
  <si>
    <t>/gpm</t>
  </si>
  <si>
    <t>Warm-Air Furnace</t>
  </si>
  <si>
    <t>High-Efficiency Condensing Furnace</t>
  </si>
  <si>
    <t>Minimum  91% AFUE</t>
  </si>
  <si>
    <t>Direct-fired Radiant Heating</t>
  </si>
  <si>
    <t>Minimum .87 Energy Factor</t>
  </si>
  <si>
    <t>Minimum 90% Thermal Efficiency and 300 kBtu/hr input</t>
  </si>
  <si>
    <t>Tankless Water Heater - Tier 2</t>
  </si>
  <si>
    <t>Minimum .93 Energy Factor</t>
  </si>
  <si>
    <t>High-Efficiency-Condensing Boiler</t>
  </si>
  <si>
    <t>Insulation - Attic - Tier 1 - Min R-30</t>
  </si>
  <si>
    <t>Tier 1 /  Minimum R-30</t>
  </si>
  <si>
    <t>/sq.ft.</t>
  </si>
  <si>
    <t>Insulation - Wall - Tier 1 - Min R-11</t>
  </si>
  <si>
    <t>Wall Insulation</t>
  </si>
  <si>
    <t>Tier 1 / Minimum R-11</t>
  </si>
  <si>
    <t>Insulation - Roof - Tier 2 - Min R-30</t>
  </si>
  <si>
    <t>Roof Insulation</t>
  </si>
  <si>
    <t>Tier 2 /  Minimum R-30</t>
  </si>
  <si>
    <t>Insulation - Wall - Tier 2 - Min R-19</t>
  </si>
  <si>
    <t>Tier 2 /  Minimum R-19</t>
  </si>
  <si>
    <t>/sq. ft.</t>
  </si>
  <si>
    <t>Insulation - Roof - Tier 1 - Min R-21</t>
  </si>
  <si>
    <t>Tier 1 /  Minimum R-21</t>
  </si>
  <si>
    <t>Insulation - Attic - Tier 2 - Min R-45</t>
  </si>
  <si>
    <t>Tier 2 /  Minimum R-45</t>
  </si>
  <si>
    <t>Windows</t>
  </si>
  <si>
    <t>Single pane to .27 or less (not LoadMAP's .50 to .22) per sq ft</t>
  </si>
  <si>
    <t>0.27 or less U</t>
  </si>
  <si>
    <t>Boiler Steam Trap</t>
  </si>
  <si>
    <t>Convection Oven (Grocery)</t>
  </si>
  <si>
    <t>Convection Oven (Lodging)</t>
  </si>
  <si>
    <t>Convection Oven (School)</t>
  </si>
  <si>
    <t>DHW Recirculation Controls</t>
  </si>
  <si>
    <t>Fryer (Grocery)</t>
  </si>
  <si>
    <t>Fryer (Lodging)</t>
  </si>
  <si>
    <t>Fryer (School)</t>
  </si>
  <si>
    <t>Griddle (Grocery)</t>
  </si>
  <si>
    <t>Griddle (Lodging)</t>
  </si>
  <si>
    <t>Griddle (School)</t>
  </si>
  <si>
    <t>HVAC Unit Heater - Condensing</t>
  </si>
  <si>
    <t>HVAC Unit Heater - Non-Condensing</t>
  </si>
  <si>
    <t>Insulation - Pipe - 1.5"</t>
  </si>
  <si>
    <t>Insulation - Pipe - 2.5"</t>
  </si>
  <si>
    <t>Low Temp Multi Tank Dishwasher</t>
  </si>
  <si>
    <t>Ozone Injection Laundry</t>
  </si>
  <si>
    <t>Steam Trap fitted to Steam Boiler</t>
  </si>
  <si>
    <t>Minimum 300 kBtu input and steam pressures at 7psig or greater</t>
  </si>
  <si>
    <t>Minimum 1,000 kBtu/hr input</t>
  </si>
  <si>
    <t>Schedule Control for Continuous Operation DHW Recirculation Pump</t>
  </si>
  <si>
    <t>Add time clock or other schedule control for continuous operation DHW recirculation pump</t>
  </si>
  <si>
    <t>High Efficiency Condensing</t>
  </si>
  <si>
    <t>High-Efficiency-Non-Condensing Unit Heater with Electronic Ignition</t>
  </si>
  <si>
    <t>Floor Insulation</t>
  </si>
  <si>
    <t>Equal to or greater than R-30 Post and equal to or less than R-11 Pre</t>
  </si>
  <si>
    <t xml:space="preserve">1.5" Thick Pipe Insulation </t>
  </si>
  <si>
    <t>Retrofit for T&gt;140F&lt;=200F</t>
  </si>
  <si>
    <t>2.5" Thick Pipe Insulation</t>
  </si>
  <si>
    <t>Retrofit for T&gt;200F</t>
  </si>
  <si>
    <t>&lt;=2kW Idle Rate, &lt;=.50 gal/rack</t>
  </si>
  <si>
    <t>Venturi Injection or Bubble Diffusion Ozone Injection Laundry</t>
  </si>
  <si>
    <t>Minimum 125 lb Total Washer/Extractor Capacity  and Pre Approved by CNG</t>
  </si>
  <si>
    <t>/controller</t>
  </si>
  <si>
    <t>/LF</t>
  </si>
  <si>
    <t>/system</t>
  </si>
  <si>
    <t>Energy Saver Kit A - 30 therms</t>
  </si>
  <si>
    <t>Energy Saver Kit A - 59 therms</t>
  </si>
  <si>
    <t>Insulation - Floor</t>
  </si>
  <si>
    <t>Custom Other - Laundrey Ozone Injection System</t>
  </si>
  <si>
    <t>Custom Other - Combi Ovens</t>
  </si>
  <si>
    <t>Custom DDC Controls - Custom DDC Controls</t>
  </si>
  <si>
    <t>Custom Heat Recovery - AHU Heat Recovery</t>
  </si>
  <si>
    <t>Custom Hood System M/U Air Reduction - CaptiveAire Hood MUA DCV Control</t>
  </si>
  <si>
    <t>Custom Other - ERV Units</t>
  </si>
  <si>
    <t>Custom Other - Custom Air Handling Units</t>
  </si>
  <si>
    <t>Custom DDC Controls - HVAC Control Optimization</t>
  </si>
  <si>
    <t>Custom Other - DOAS units</t>
  </si>
  <si>
    <t>non-energy</t>
  </si>
  <si>
    <t>Total 2021 Program Admin.</t>
  </si>
  <si>
    <t>COMBOILERS2-19-19</t>
  </si>
  <si>
    <t>COMBOILSTP-NT</t>
  </si>
  <si>
    <t>COMBOILVTD</t>
  </si>
  <si>
    <t>COMFSOVENGROC2-19-19</t>
  </si>
  <si>
    <t>COMFSOVENLODGE2-19-19</t>
  </si>
  <si>
    <t>COMFSOVENREST2-19-19</t>
  </si>
  <si>
    <t>COMFSOVENSCHO2-19-19</t>
  </si>
  <si>
    <t>COMDCV-7-17</t>
  </si>
  <si>
    <t>COMDHWRCTR2-19-19</t>
  </si>
  <si>
    <t>COMDHWTSCT</t>
  </si>
  <si>
    <t>COMFSDOVEN2-19-19</t>
  </si>
  <si>
    <t>COMESVKTA2-19-19</t>
  </si>
  <si>
    <t>COMESVKTA30</t>
  </si>
  <si>
    <t>COMESVKTA59</t>
  </si>
  <si>
    <t>COMFSFRYERGROC2-19-19</t>
  </si>
  <si>
    <t>COMFSFRYERLODGE2-19-19</t>
  </si>
  <si>
    <t>COMFSFRYERREST2-19-19</t>
  </si>
  <si>
    <t>COMFSFRYERSCHO2-19-19</t>
  </si>
  <si>
    <t>COMFSCVROVEN2-19-19</t>
  </si>
  <si>
    <t>COMFSGRIDGROC-7-17</t>
  </si>
  <si>
    <t>COMFSGRIDLODGE-7-17</t>
  </si>
  <si>
    <t>COMFSGRIDREST-7-17</t>
  </si>
  <si>
    <t>COMFSGRIDSCHO-7-17</t>
  </si>
  <si>
    <t>COMHVACCON2-19-19</t>
  </si>
  <si>
    <t>COMIAT12-19-19</t>
  </si>
  <si>
    <t>COMIAT22-19-19</t>
  </si>
  <si>
    <t>COMFLOORINS2-19-19</t>
  </si>
  <si>
    <t>COMPIPINS1.52-19-19</t>
  </si>
  <si>
    <t>COMPIPINS2.52-19-19</t>
  </si>
  <si>
    <t>COMIRT12-19-19</t>
  </si>
  <si>
    <t>COMIRT22-19-19</t>
  </si>
  <si>
    <t>COMIWT12-19-19</t>
  </si>
  <si>
    <t>COMIWT22-19-19</t>
  </si>
  <si>
    <t>COMFSDISDL-7-17</t>
  </si>
  <si>
    <t>COMFSDISML2-19-19</t>
  </si>
  <si>
    <t>COMMTNFCTR</t>
  </si>
  <si>
    <t>COMOZNLNDRY</t>
  </si>
  <si>
    <t>COMRADIANT2-19-19</t>
  </si>
  <si>
    <t>COMFSSTM3P-NT</t>
  </si>
  <si>
    <t>COMFSSTM6P</t>
  </si>
  <si>
    <t>COMTANKLESST12-19-19</t>
  </si>
  <si>
    <t>COMTANKLESST22-19-19</t>
  </si>
  <si>
    <t>COMFURNACE2-19-19</t>
  </si>
  <si>
    <t>COMWINDOWS2-19-19</t>
  </si>
  <si>
    <t>Bonus - Re-COV-ery D (3 or more measures)</t>
  </si>
  <si>
    <t>Re-COV-ery Bundle D</t>
  </si>
  <si>
    <t>Any 3 measures for facilities under 50,000 sq ft</t>
  </si>
  <si>
    <t>COMFSBNDLA2-19-19</t>
  </si>
  <si>
    <t>COMRECOVBNDL</t>
  </si>
  <si>
    <t>COMFSBNDLB2-19-19</t>
  </si>
  <si>
    <t>COMINSBNDL-7-17</t>
  </si>
  <si>
    <t>Bonus - HVAC</t>
  </si>
  <si>
    <t>COMHVACBNS2021</t>
  </si>
  <si>
    <t>HVAC Bonus</t>
  </si>
  <si>
    <t>Must present coupon</t>
  </si>
  <si>
    <t>COMFSBNDLA-7-17</t>
  </si>
  <si>
    <t>COMFSBNDLB-7-17</t>
  </si>
  <si>
    <t>not offered</t>
  </si>
  <si>
    <t>duplicate</t>
  </si>
  <si>
    <t>LOADED  UTILITY  BENEFIT  TO  COST  RATIO</t>
  </si>
  <si>
    <t>TOTAL  RESOURCE  COST</t>
  </si>
  <si>
    <t>TRC  W/DELIVERY  &amp;  ADMIN</t>
  </si>
  <si>
    <t>LOADED  SOCIETAL  BENEFIT  TO  COST  RATIO</t>
  </si>
  <si>
    <t>UC  W/DELIVERY  &amp;  ADMIN</t>
  </si>
  <si>
    <t>UTILITY  COST</t>
  </si>
  <si>
    <t>UNITS INSTALLED</t>
  </si>
  <si>
    <t>TOTAL ANNUAL THERM SAVINGS</t>
  </si>
  <si>
    <t>MEASURE INCREMENTAL COST</t>
  </si>
  <si>
    <t>TOTAL INCREMENTAL COST</t>
  </si>
  <si>
    <t>PARTICIPANT NEBS</t>
  </si>
  <si>
    <t>TOTAL  NET  INCREMENTAL  COST  WITH  NEBS</t>
  </si>
  <si>
    <t>MEASURE LIFE</t>
  </si>
  <si>
    <t>DISCOUNTED THERM SAVINGS</t>
  </si>
  <si>
    <t>PROGRAM DELIVERY AND ADMIN</t>
  </si>
  <si>
    <t>PROGRAM REBATE</t>
  </si>
  <si>
    <t>CALCULATED REBATE COST</t>
  </si>
  <si>
    <t>REBATES BASED ON CAPPED INCENTIVES</t>
  </si>
  <si>
    <t>UNIT</t>
  </si>
  <si>
    <t>TOTAL MEASURE COUNT</t>
  </si>
  <si>
    <t>ANNUAL THERM SAVINGS</t>
  </si>
  <si>
    <t>Measure Mapping</t>
  </si>
  <si>
    <t>IRP ANNUAL 
 PORTFOLIO 
 COST PER 
 THERM (PV)*</t>
  </si>
  <si>
    <t>NOMINAL 
 COST 
 PER 
 THERM</t>
  </si>
  <si>
    <t>PV OF 
 RESOURCE 
 PORTFOLIO 
 COST/THERM</t>
  </si>
  <si>
    <t>NON 
 ENERGY 
 BENEFIT</t>
  </si>
  <si>
    <t>PORTFOLIO 
 COSTS  WITH 
 CONSERVATION 
 CREDIT</t>
  </si>
  <si>
    <t>COST- 
 EFFECTIVENESS 
 LIMIT</t>
  </si>
  <si>
    <t>008459</t>
  </si>
  <si>
    <t>008460</t>
  </si>
  <si>
    <t>008477</t>
  </si>
  <si>
    <t>008420</t>
  </si>
  <si>
    <t>008405</t>
  </si>
  <si>
    <t>008406</t>
  </si>
  <si>
    <t>008476</t>
  </si>
  <si>
    <t>008473</t>
  </si>
  <si>
    <t>008377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</si>
</sst>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.000%"/>
    <numFmt numFmtId="166" formatCode="#,##0.000"/>
    <numFmt numFmtId="167" formatCode="&quot;$&quot;#,##0.00"/>
    <numFmt numFmtId="168" formatCode="_(&quot;$&quot;* #,##0_);_(&quot;$&quot;* \(#,##0\);_(&quot;$&quot;* &quot;-&quot;??_);_(@_)"/>
    <numFmt numFmtId="169" formatCode="_(* #,##0_);_(* \(#,##0\);_(* &quot;-&quot;??_);_(@_)"/>
    <numFmt numFmtId="171" formatCode="\$#,##0.00;\$\-#,##0.00"/>
    <numFmt numFmtId="172" formatCode="\$#,##0.00"/>
    <numFmt numFmtId="173" formatCode="\$#,##0.00;\$\(#,##0.00\)\ "/>
    <numFmt numFmtId="174" formatCode="\$#,##0.000"/>
    <numFmt numFmtId="175" formatCode="#,##0.000;\(#,##0.000\)\ "/>
    <numFmt numFmtId="176" formatCode="\$#,##0.000;\$\(#,##0.000\)\ "/>
    <numFmt numFmtId="177" formatCode="\$#,##0.000;\$\(#,##0.000\)"/>
    <numFmt numFmtId="178" formatCode="\$#,##0.00;\$\(#,##0.00\)"/>
    <numFmt numFmtId="179" formatCode="0.000"/>
    <numFmt numFmtId="180" formatCode="#,##0.00%"/>
    <numFmt numFmtId="181" formatCode="\$#,##0.0000;\$\-#,##0.0000"/>
    <numFmt numFmtId="182" formatCode="\$#,##0.##;\$\-#,##0.##"/>
  </numFmts>
  <fonts count="29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0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0"/>
      <name val="Arial"/>
      <family val="2"/>
    </font>
    <font>
      <sz val="10"/>
      <color rgb="FFFF0000"/>
      <name val="Times New Roman"/>
      <family val="1"/>
    </font>
    <font>
      <sz val="10"/>
      <color indexed="0"/>
      <name val="Arial"/>
      <family val="2"/>
    </font>
    <font>
      <b/>
      <sz val="10"/>
      <color theme="0"/>
      <name val="Times New Roman"/>
      <family val="1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5"/>
      <color rgb="FF3634E0"/>
      <name val="Arial"/>
      <family val="2"/>
    </font>
    <font>
      <b/>
      <sz val="21"/>
      <color rgb="FF058FFF"/>
      <name val="Arial"/>
      <family val="2"/>
    </font>
    <font>
      <b/>
      <sz val="17"/>
      <color rgb="FF058FFF"/>
      <name val="Arial"/>
      <family val="2"/>
    </font>
    <font>
      <b/>
      <sz val="11"/>
      <color rgb="FFFFFFFF"/>
      <name val="Arial"/>
      <family val="2"/>
    </font>
    <font>
      <b/>
      <sz val="11"/>
      <color rgb="FF3634E0"/>
      <name val="Arial"/>
      <family val="2"/>
    </font>
    <font>
      <b/>
      <sz val="11"/>
      <color rgb="FFA61712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7.5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AA6DB"/>
      </patternFill>
    </fill>
    <fill>
      <patternFill patternType="solid">
        <fgColor rgb="FFE8E6E6"/>
      </patternFill>
    </fill>
    <fill>
      <patternFill patternType="solid">
        <fgColor rgb="FFF89842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rgb="FFD6D2D2"/>
      </left>
      <right style="medium">
        <color rgb="FFD6D2D2"/>
      </right>
      <top/>
      <bottom/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medium">
        <color rgb="FFD6D2D2"/>
      </left>
      <right style="medium">
        <color rgb="FFD6D2D2"/>
      </right>
      <top/>
      <bottom style="medium">
        <color rgb="FFD6D2D2"/>
      </bottom>
      <diagonal/>
    </border>
    <border>
      <left style="medium">
        <color rgb="FFD6D2D2"/>
      </left>
      <right style="medium">
        <color rgb="FFD6D2D2"/>
      </right>
      <top/>
      <bottom/>
      <diagonal/>
    </border>
    <border>
      <left style="medium">
        <color rgb="FFD6D2D2"/>
      </left>
      <right/>
      <top/>
      <bottom/>
      <diagonal/>
    </border>
    <border>
      <left/>
      <right style="medium">
        <color rgb="FFD6D2D2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2" fillId="0" borderId="0"/>
    <xf numFmtId="0" fontId="14" fillId="0" borderId="0"/>
    <xf numFmtId="0" fontId="15" fillId="0" borderId="0"/>
    <xf numFmtId="0" fontId="16" fillId="0" borderId="0"/>
    <xf numFmtId="0" fontId="17" fillId="0" borderId="0"/>
  </cellStyleXfs>
  <cellXfs count="122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0" fontId="3" fillId="0" borderId="0" xfId="3" applyFont="1" applyFill="1" applyAlignment="1">
      <alignment horizontal="center"/>
    </xf>
    <xf numFmtId="0" fontId="3" fillId="0" borderId="0" xfId="3" applyFont="1" applyAlignment="1">
      <alignment horizontal="center"/>
    </xf>
    <xf numFmtId="0" fontId="4" fillId="0" borderId="0" xfId="3" applyFont="1" applyFill="1"/>
    <xf numFmtId="0" fontId="4" fillId="0" borderId="0" xfId="3" applyFont="1"/>
    <xf numFmtId="0" fontId="4" fillId="0" borderId="0" xfId="3" applyFont="1" applyFill="1" applyAlignment="1">
      <alignment horizontal="center"/>
    </xf>
    <xf numFmtId="0" fontId="4" fillId="0" borderId="0" xfId="3" applyFont="1" applyAlignment="1">
      <alignment horizontal="center"/>
    </xf>
    <xf numFmtId="44" fontId="4" fillId="0" borderId="0" xfId="4" applyNumberFormat="1" applyFont="1" applyFill="1"/>
    <xf numFmtId="0" fontId="3" fillId="0" borderId="0" xfId="3" applyFont="1" applyFill="1"/>
    <xf numFmtId="165" fontId="4" fillId="0" borderId="0" xfId="4" applyNumberFormat="1" applyFont="1" applyFill="1"/>
    <xf numFmtId="165" fontId="4" fillId="0" borderId="0" xfId="4" applyNumberFormat="1" applyFont="1"/>
    <xf numFmtId="165" fontId="4" fillId="0" borderId="0" xfId="3" applyNumberFormat="1" applyFont="1"/>
    <xf numFmtId="10" fontId="4" fillId="0" borderId="0" xfId="3" applyNumberFormat="1" applyFont="1"/>
    <xf numFmtId="10" fontId="4" fillId="0" borderId="0" xfId="4" applyNumberFormat="1" applyFont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2" fontId="4" fillId="0" borderId="0" xfId="0" applyNumberFormat="1" applyFont="1" applyFill="1" applyAlignment="1">
      <alignment horizontal="center"/>
    </xf>
    <xf numFmtId="4" fontId="3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2" fontId="4" fillId="0" borderId="0" xfId="2" applyNumberFormat="1" applyFont="1" applyFill="1" applyBorder="1"/>
    <xf numFmtId="0" fontId="4" fillId="0" borderId="0" xfId="1" applyNumberFormat="1" applyFont="1" applyFill="1" applyBorder="1" applyAlignment="1">
      <alignment horizontal="center"/>
    </xf>
    <xf numFmtId="42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10" fontId="4" fillId="0" borderId="0" xfId="0" applyNumberFormat="1" applyFont="1" applyFill="1" applyAlignment="1" applyProtection="1">
      <alignment horizontal="left"/>
    </xf>
    <xf numFmtId="2" fontId="4" fillId="0" borderId="0" xfId="0" applyNumberFormat="1" applyFont="1" applyFill="1" applyAlignment="1" applyProtection="1">
      <alignment horizontal="center"/>
    </xf>
    <xf numFmtId="10" fontId="4" fillId="0" borderId="0" xfId="0" applyNumberFormat="1" applyFont="1" applyFill="1" applyAlignment="1" applyProtection="1">
      <alignment horizontal="center"/>
    </xf>
    <xf numFmtId="10" fontId="3" fillId="0" borderId="0" xfId="0" applyNumberFormat="1" applyFont="1" applyFill="1" applyBorder="1" applyAlignment="1" applyProtection="1">
      <alignment horizontal="center"/>
    </xf>
    <xf numFmtId="10" fontId="4" fillId="0" borderId="0" xfId="0" applyNumberFormat="1" applyFont="1" applyFill="1" applyBorder="1" applyAlignment="1" applyProtection="1">
      <alignment horizontal="center"/>
    </xf>
    <xf numFmtId="168" fontId="3" fillId="0" borderId="0" xfId="2" applyNumberFormat="1" applyFont="1" applyFill="1" applyBorder="1" applyAlignment="1">
      <alignment horizontal="center"/>
    </xf>
    <xf numFmtId="169" fontId="3" fillId="0" borderId="0" xfId="1" applyNumberFormat="1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164" fontId="3" fillId="0" borderId="0" xfId="2" applyNumberFormat="1" applyFont="1" applyFill="1" applyBorder="1"/>
    <xf numFmtId="166" fontId="3" fillId="0" borderId="0" xfId="0" applyNumberFormat="1" applyFont="1" applyFill="1" applyBorder="1" applyAlignment="1">
      <alignment horizontal="center"/>
    </xf>
    <xf numFmtId="2" fontId="4" fillId="0" borderId="0" xfId="1" applyNumberFormat="1" applyFont="1" applyFill="1" applyAlignment="1" applyProtection="1">
      <alignment horizontal="center"/>
    </xf>
    <xf numFmtId="3" fontId="8" fillId="0" borderId="0" xfId="1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left"/>
    </xf>
    <xf numFmtId="4" fontId="3" fillId="0" borderId="0" xfId="0" applyNumberFormat="1" applyFont="1" applyFill="1" applyAlignment="1">
      <alignment horizontal="left"/>
    </xf>
    <xf numFmtId="167" fontId="4" fillId="0" borderId="0" xfId="0" applyNumberFormat="1" applyFont="1" applyFill="1" applyAlignment="1" applyProtection="1">
      <alignment horizontal="center"/>
    </xf>
    <xf numFmtId="7" fontId="4" fillId="0" borderId="0" xfId="0" applyNumberFormat="1" applyFont="1" applyFill="1" applyAlignment="1">
      <alignment horizontal="center"/>
    </xf>
    <xf numFmtId="4" fontId="13" fillId="0" borderId="0" xfId="0" applyNumberFormat="1" applyFont="1" applyFill="1" applyAlignment="1">
      <alignment horizontal="left"/>
    </xf>
    <xf numFmtId="4" fontId="4" fillId="0" borderId="0" xfId="0" applyNumberFormat="1" applyFont="1" applyFill="1" applyAlignment="1">
      <alignment horizontal="left"/>
    </xf>
    <xf numFmtId="3" fontId="4" fillId="0" borderId="0" xfId="0" applyNumberFormat="1" applyFont="1" applyFill="1" applyAlignment="1" applyProtection="1">
      <alignment horizontal="center"/>
    </xf>
    <xf numFmtId="3" fontId="3" fillId="0" borderId="0" xfId="0" applyNumberFormat="1" applyFont="1" applyFill="1" applyAlignment="1">
      <alignment horizontal="center"/>
    </xf>
    <xf numFmtId="7" fontId="4" fillId="0" borderId="0" xfId="0" applyNumberFormat="1" applyFont="1" applyFill="1"/>
    <xf numFmtId="4" fontId="3" fillId="0" borderId="0" xfId="0" applyNumberFormat="1" applyFont="1" applyFill="1" applyBorder="1" applyAlignment="1">
      <alignment horizontal="right" vertical="center"/>
    </xf>
    <xf numFmtId="4" fontId="3" fillId="0" borderId="0" xfId="1" applyNumberFormat="1" applyFont="1" applyFill="1" applyBorder="1" applyAlignment="1">
      <alignment horizontal="right"/>
    </xf>
    <xf numFmtId="0" fontId="4" fillId="0" borderId="0" xfId="0" applyFont="1"/>
    <xf numFmtId="4" fontId="11" fillId="0" borderId="0" xfId="5" applyNumberFormat="1" applyFont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3" fontId="19" fillId="0" borderId="3" xfId="0" applyNumberFormat="1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171" fontId="19" fillId="0" borderId="3" xfId="0" applyNumberFormat="1" applyFont="1" applyBorder="1" applyAlignment="1">
      <alignment horizontal="center" vertical="center" wrapText="1"/>
    </xf>
    <xf numFmtId="172" fontId="19" fillId="0" borderId="3" xfId="0" applyNumberFormat="1" applyFont="1" applyBorder="1" applyAlignment="1">
      <alignment horizontal="center" vertical="center" wrapText="1"/>
    </xf>
    <xf numFmtId="173" fontId="19" fillId="0" borderId="3" xfId="0" applyNumberFormat="1" applyFont="1" applyBorder="1" applyAlignment="1">
      <alignment horizontal="center" vertical="center" wrapText="1"/>
    </xf>
    <xf numFmtId="174" fontId="19" fillId="0" borderId="3" xfId="0" applyNumberFormat="1" applyFont="1" applyBorder="1" applyAlignment="1">
      <alignment horizontal="center" vertical="center" wrapText="1"/>
    </xf>
    <xf numFmtId="175" fontId="19" fillId="0" borderId="3" xfId="0" applyNumberFormat="1" applyFont="1" applyBorder="1" applyAlignment="1">
      <alignment horizontal="center" vertical="center" wrapText="1"/>
    </xf>
    <xf numFmtId="176" fontId="19" fillId="0" borderId="3" xfId="0" applyNumberFormat="1" applyFont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3" fontId="19" fillId="3" borderId="3" xfId="0" applyNumberFormat="1" applyFont="1" applyFill="1" applyBorder="1" applyAlignment="1">
      <alignment horizontal="center" vertical="center" wrapText="1"/>
    </xf>
    <xf numFmtId="4" fontId="19" fillId="3" borderId="3" xfId="0" applyNumberFormat="1" applyFont="1" applyFill="1" applyBorder="1" applyAlignment="1">
      <alignment horizontal="center" vertical="center" wrapText="1"/>
    </xf>
    <xf numFmtId="171" fontId="19" fillId="3" borderId="3" xfId="0" applyNumberFormat="1" applyFont="1" applyFill="1" applyBorder="1" applyAlignment="1">
      <alignment horizontal="center" vertical="center" wrapText="1"/>
    </xf>
    <xf numFmtId="172" fontId="19" fillId="3" borderId="3" xfId="0" applyNumberFormat="1" applyFont="1" applyFill="1" applyBorder="1" applyAlignment="1">
      <alignment horizontal="center" vertical="center" wrapText="1"/>
    </xf>
    <xf numFmtId="173" fontId="19" fillId="3" borderId="3" xfId="0" applyNumberFormat="1" applyFont="1" applyFill="1" applyBorder="1" applyAlignment="1">
      <alignment horizontal="center" vertical="center" wrapText="1"/>
    </xf>
    <xf numFmtId="174" fontId="19" fillId="3" borderId="3" xfId="0" applyNumberFormat="1" applyFont="1" applyFill="1" applyBorder="1" applyAlignment="1">
      <alignment horizontal="center" vertical="center" wrapText="1"/>
    </xf>
    <xf numFmtId="175" fontId="19" fillId="3" borderId="3" xfId="0" applyNumberFormat="1" applyFont="1" applyFill="1" applyBorder="1" applyAlignment="1">
      <alignment horizontal="center" vertical="center" wrapText="1"/>
    </xf>
    <xf numFmtId="176" fontId="19" fillId="3" borderId="3" xfId="0" applyNumberFormat="1" applyFont="1" applyFill="1" applyBorder="1" applyAlignment="1">
      <alignment horizontal="center" vertical="center" wrapText="1"/>
    </xf>
    <xf numFmtId="177" fontId="19" fillId="3" borderId="3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3" xfId="0" applyNumberFormat="1" applyFont="1" applyBorder="1" applyAlignment="1">
      <alignment horizontal="left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3" fontId="23" fillId="4" borderId="4" xfId="0" applyNumberFormat="1" applyFont="1" applyFill="1" applyBorder="1" applyAlignment="1">
      <alignment horizontal="center" vertical="center" wrapText="1"/>
    </xf>
    <xf numFmtId="4" fontId="23" fillId="4" borderId="5" xfId="0" applyNumberFormat="1" applyFont="1" applyFill="1" applyBorder="1" applyAlignment="1">
      <alignment horizontal="center" vertical="center" wrapText="1"/>
    </xf>
    <xf numFmtId="4" fontId="18" fillId="4" borderId="4" xfId="0" applyNumberFormat="1" applyFont="1" applyFill="1" applyBorder="1" applyAlignment="1">
      <alignment horizontal="center" vertical="center" wrapText="1"/>
    </xf>
    <xf numFmtId="178" fontId="23" fillId="4" borderId="5" xfId="0" applyNumberFormat="1" applyFont="1" applyFill="1" applyBorder="1" applyAlignment="1">
      <alignment horizontal="center" vertical="center" wrapText="1"/>
    </xf>
    <xf numFmtId="3" fontId="18" fillId="4" borderId="4" xfId="0" applyNumberFormat="1" applyFont="1" applyFill="1" applyBorder="1" applyAlignment="1">
      <alignment horizontal="center" vertical="center" wrapText="1"/>
    </xf>
    <xf numFmtId="178" fontId="18" fillId="4" borderId="4" xfId="0" applyNumberFormat="1" applyFont="1" applyFill="1" applyBorder="1" applyAlignment="1">
      <alignment horizontal="center" vertical="center" wrapText="1"/>
    </xf>
    <xf numFmtId="175" fontId="23" fillId="4" borderId="5" xfId="0" applyNumberFormat="1" applyFont="1" applyFill="1" applyBorder="1" applyAlignment="1">
      <alignment horizontal="center" vertical="center" wrapText="1"/>
    </xf>
    <xf numFmtId="167" fontId="23" fillId="4" borderId="5" xfId="2" applyNumberFormat="1" applyFont="1" applyFill="1" applyBorder="1" applyAlignment="1">
      <alignment horizontal="center" vertical="center" wrapText="1"/>
    </xf>
    <xf numFmtId="179" fontId="23" fillId="4" borderId="5" xfId="0" applyNumberFormat="1" applyFont="1" applyFill="1" applyBorder="1" applyAlignment="1">
      <alignment horizontal="center" vertical="center" wrapText="1"/>
    </xf>
    <xf numFmtId="167" fontId="23" fillId="4" borderId="5" xfId="0" applyNumberFormat="1" applyFont="1" applyFill="1" applyBorder="1" applyAlignment="1">
      <alignment horizontal="center" vertical="center" wrapText="1"/>
    </xf>
    <xf numFmtId="167" fontId="19" fillId="0" borderId="3" xfId="0" applyNumberFormat="1" applyFont="1" applyBorder="1" applyAlignment="1">
      <alignment horizontal="center" vertical="center" wrapText="1"/>
    </xf>
    <xf numFmtId="167" fontId="19" fillId="3" borderId="3" xfId="0" applyNumberFormat="1" applyFont="1" applyFill="1" applyBorder="1" applyAlignment="1">
      <alignment horizontal="center" vertical="center" wrapText="1"/>
    </xf>
    <xf numFmtId="167" fontId="18" fillId="2" borderId="2" xfId="0" applyNumberFormat="1" applyFont="1" applyFill="1" applyBorder="1" applyAlignment="1">
      <alignment horizontal="center" vertical="center" wrapText="1"/>
    </xf>
    <xf numFmtId="43" fontId="19" fillId="0" borderId="3" xfId="1" applyFont="1" applyBorder="1" applyAlignment="1">
      <alignment horizontal="center" vertical="center" wrapText="1"/>
    </xf>
    <xf numFmtId="43" fontId="19" fillId="3" borderId="3" xfId="1" applyFont="1" applyFill="1" applyBorder="1" applyAlignment="1">
      <alignment horizontal="center" vertical="center" wrapText="1"/>
    </xf>
    <xf numFmtId="43" fontId="18" fillId="2" borderId="2" xfId="1" applyFont="1" applyFill="1" applyBorder="1" applyAlignment="1">
      <alignment horizontal="center" vertical="center" wrapText="1"/>
    </xf>
    <xf numFmtId="43" fontId="23" fillId="4" borderId="5" xfId="1" applyFont="1" applyFill="1" applyBorder="1" applyAlignment="1">
      <alignment horizontal="center" vertical="center" wrapText="1"/>
    </xf>
    <xf numFmtId="179" fontId="19" fillId="0" borderId="3" xfId="0" applyNumberFormat="1" applyFont="1" applyBorder="1" applyAlignment="1">
      <alignment horizontal="center" vertical="center" wrapText="1"/>
    </xf>
    <xf numFmtId="179" fontId="19" fillId="3" borderId="3" xfId="0" applyNumberFormat="1" applyFont="1" applyFill="1" applyBorder="1" applyAlignment="1">
      <alignment horizontal="center" vertical="center" wrapText="1"/>
    </xf>
    <xf numFmtId="179" fontId="18" fillId="2" borderId="2" xfId="0" applyNumberFormat="1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180" fontId="25" fillId="0" borderId="3" xfId="0" applyNumberFormat="1" applyFont="1" applyBorder="1" applyAlignment="1">
      <alignment horizontal="left" vertical="center" wrapText="1"/>
    </xf>
    <xf numFmtId="171" fontId="25" fillId="0" borderId="3" xfId="0" applyNumberFormat="1" applyFont="1" applyBorder="1" applyAlignment="1">
      <alignment horizontal="left" vertical="center" wrapText="1"/>
    </xf>
    <xf numFmtId="0" fontId="26" fillId="0" borderId="8" xfId="0" applyFont="1" applyBorder="1" applyAlignment="1">
      <alignment horizontal="center" vertical="center" wrapText="1"/>
    </xf>
    <xf numFmtId="171" fontId="26" fillId="0" borderId="8" xfId="0" applyNumberFormat="1" applyFont="1" applyBorder="1" applyAlignment="1">
      <alignment horizontal="center" vertical="center" wrapText="1"/>
    </xf>
    <xf numFmtId="9" fontId="26" fillId="0" borderId="8" xfId="4" applyFont="1" applyFill="1" applyBorder="1" applyAlignment="1" applyProtection="1">
      <alignment horizontal="center" vertical="center" wrapText="1"/>
    </xf>
    <xf numFmtId="181" fontId="26" fillId="0" borderId="8" xfId="0" applyNumberFormat="1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167" fontId="25" fillId="0" borderId="3" xfId="4" applyNumberFormat="1" applyFont="1" applyBorder="1" applyAlignment="1">
      <alignment horizontal="left" vertical="center" wrapText="1"/>
    </xf>
    <xf numFmtId="0" fontId="28" fillId="0" borderId="8" xfId="0" applyFont="1" applyBorder="1" applyAlignment="1">
      <alignment horizontal="center" vertical="center" wrapText="1"/>
    </xf>
    <xf numFmtId="182" fontId="26" fillId="0" borderId="8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3" fillId="0" borderId="0" xfId="3" applyFont="1" applyFill="1" applyAlignment="1">
      <alignment horizontal="center"/>
    </xf>
  </cellXfs>
  <cellStyles count="21">
    <cellStyle name="Comma" xfId="1" builtinId="3"/>
    <cellStyle name="Comma 2" xfId="6" xr:uid="{00000000-0005-0000-0000-000001000000}"/>
    <cellStyle name="Comma 3" xfId="10" xr:uid="{00000000-0005-0000-0000-000002000000}"/>
    <cellStyle name="Comma 4" xfId="12" xr:uid="{00000000-0005-0000-0000-000003000000}"/>
    <cellStyle name="Currency" xfId="2" builtinId="4"/>
    <cellStyle name="Currency 2" xfId="7" xr:uid="{00000000-0005-0000-0000-000005000000}"/>
    <cellStyle name="Currency 3" xfId="11" xr:uid="{00000000-0005-0000-0000-000006000000}"/>
    <cellStyle name="Currency 4" xfId="13" xr:uid="{00000000-0005-0000-0000-000007000000}"/>
    <cellStyle name="Normal" xfId="0" builtinId="0"/>
    <cellStyle name="Normal 10" xfId="20" xr:uid="{49E0050A-87AA-4EB7-8984-F9DB2B2592F6}"/>
    <cellStyle name="Normal 2" xfId="8" xr:uid="{00000000-0005-0000-0000-000009000000}"/>
    <cellStyle name="Normal 3" xfId="5" xr:uid="{00000000-0005-0000-0000-00000A000000}"/>
    <cellStyle name="Normal 4" xfId="9" xr:uid="{00000000-0005-0000-0000-00000B000000}"/>
    <cellStyle name="Normal 5" xfId="15" xr:uid="{00000000-0005-0000-0000-00000C000000}"/>
    <cellStyle name="Normal 6" xfId="16" xr:uid="{00000000-0005-0000-0000-00000D000000}"/>
    <cellStyle name="Normal 7" xfId="17" xr:uid="{00000000-0005-0000-0000-00000E000000}"/>
    <cellStyle name="Normal 8" xfId="18" xr:uid="{00000000-0005-0000-0000-00000F000000}"/>
    <cellStyle name="Normal 9" xfId="19" xr:uid="{00000000-0005-0000-0000-000010000000}"/>
    <cellStyle name="Normal_Copy of Avoided Cost adjusted Final" xfId="3" xr:uid="{00000000-0005-0000-0000-000011000000}"/>
    <cellStyle name="Percent" xfId="4" builtinId="5"/>
    <cellStyle name="Percent 2" xfId="14" xr:uid="{00000000-0005-0000-0000-000014000000}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microsoft.com/office/2017/10/relationships/person" Target="persons/perso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Laron%20T\WA%20CPI\Tools_103006\Comml_Measures_C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Laron%20T\WA%20CPI\Tools_103006\DaveB\loadprofi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lison.spector\Local%20Settings\Temporary%20Internet%20Files\OLKE1\Cost%20Effectiveness%20calcula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lison.spector\Local%20Settings\Temporary%20Internet%20Files\OLKE1\misc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Summary"/>
      <sheetName val="Results"/>
      <sheetName val="ECMs"/>
      <sheetName val="Applicability"/>
      <sheetName val="AppFuelSat"/>
      <sheetName val="Penetration"/>
      <sheetName val="TechPopRat"/>
      <sheetName val="AchievePopRat"/>
      <sheetName val="MeasElecSavings"/>
      <sheetName val="MeasGasSavings"/>
      <sheetName val="MeasureCost"/>
      <sheetName val="O_M"/>
      <sheetName val="SmOffice"/>
      <sheetName val="LgOffice"/>
      <sheetName val="Restaurant"/>
      <sheetName val="Retail"/>
      <sheetName val="Grocery"/>
      <sheetName val="School"/>
      <sheetName val="Warehouse"/>
      <sheetName val="College"/>
      <sheetName val="Hospital"/>
      <sheetName val="OtherHealth"/>
      <sheetName val="Lodging"/>
      <sheetName val="Other"/>
      <sheetName val="Characteristics"/>
      <sheetName val="Population"/>
      <sheetName val="EUIS"/>
      <sheetName val="Constan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>
            <v>5.1742837700707422E-2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 Profiles"/>
      <sheetName val="loadprofiles"/>
    </sheetNames>
    <sheetDataSet>
      <sheetData sheetId="0">
        <row r="2">
          <cell r="G2" t="str">
            <v>Index</v>
          </cell>
          <cell r="H2" t="str">
            <v>FLAT</v>
          </cell>
          <cell r="I2" t="str">
            <v>ExLgOffGasHt</v>
          </cell>
          <cell r="J2" t="str">
            <v>NewCommLight</v>
          </cell>
          <cell r="K2" t="str">
            <v>Off Peak</v>
          </cell>
          <cell r="M2" t="str">
            <v>ResDHW</v>
          </cell>
          <cell r="N2" t="str">
            <v>ResSpHtHPZ1</v>
          </cell>
          <cell r="O2" t="str">
            <v>ResSH</v>
          </cell>
          <cell r="P2" t="str">
            <v>SmComWX</v>
          </cell>
          <cell r="Q2" t="str">
            <v>SolarDHWZ3W</v>
          </cell>
          <cell r="Y2" t="str">
            <v>Gas Load Profile</v>
          </cell>
        </row>
        <row r="3">
          <cell r="A3" t="str">
            <v>Flat</v>
          </cell>
          <cell r="B3">
            <v>1.1763812993321188E-4</v>
          </cell>
          <cell r="C3">
            <v>1.1763812993321188E-4</v>
          </cell>
          <cell r="D3">
            <v>2</v>
          </cell>
          <cell r="G3" t="str">
            <v>Index</v>
          </cell>
          <cell r="H3" t="str">
            <v>Flat</v>
          </cell>
          <cell r="I3" t="str">
            <v>HVAC</v>
          </cell>
          <cell r="J3" t="str">
            <v>On Peak</v>
          </cell>
          <cell r="K3" t="str">
            <v>Off Peak</v>
          </cell>
          <cell r="L3" t="str">
            <v>Res Cooling</v>
          </cell>
          <cell r="M3" t="str">
            <v>Res DHW</v>
          </cell>
          <cell r="N3" t="str">
            <v>Res HP</v>
          </cell>
          <cell r="O3" t="str">
            <v>ResSH</v>
          </cell>
          <cell r="P3" t="str">
            <v>Shell Wx</v>
          </cell>
          <cell r="Q3" t="str">
            <v>Solar DHW</v>
          </cell>
          <cell r="Y3" t="str">
            <v>Load Profile</v>
          </cell>
          <cell r="Z3" t="str">
            <v>Capacity Factor</v>
          </cell>
          <cell r="AB3">
            <v>2004</v>
          </cell>
          <cell r="AC3">
            <v>0</v>
          </cell>
        </row>
        <row r="4">
          <cell r="A4" t="str">
            <v>HVAC</v>
          </cell>
          <cell r="B4">
            <v>2.4798087477391641E-4</v>
          </cell>
          <cell r="C4">
            <v>2.1597075847529313E-4</v>
          </cell>
          <cell r="D4">
            <v>3</v>
          </cell>
          <cell r="G4">
            <v>1</v>
          </cell>
          <cell r="H4">
            <v>4.5200742747461393E-2</v>
          </cell>
          <cell r="I4">
            <v>5.0832409242958218E-2</v>
          </cell>
          <cell r="J4">
            <v>6.2898578839727964E-2</v>
          </cell>
          <cell r="K4">
            <v>3.233352402940598E-2</v>
          </cell>
          <cell r="L4">
            <v>6.418585588333206E-2</v>
          </cell>
          <cell r="M4">
            <v>5.3929403121569665E-2</v>
          </cell>
          <cell r="N4">
            <v>5.4783675154386841E-2</v>
          </cell>
          <cell r="O4">
            <v>5.1223986971486765E-2</v>
          </cell>
          <cell r="P4">
            <v>4.6085668233944374E-2</v>
          </cell>
          <cell r="Q4">
            <v>5.6024259880257429E-2</v>
          </cell>
          <cell r="Y4" t="str">
            <v>Existing Process</v>
          </cell>
          <cell r="Z4">
            <v>1</v>
          </cell>
          <cell r="AB4">
            <v>2005</v>
          </cell>
          <cell r="AC4">
            <v>1</v>
          </cell>
          <cell r="AD4">
            <v>4.2938147835148658E-3</v>
          </cell>
          <cell r="AE4">
            <v>0.67198576340909832</v>
          </cell>
        </row>
        <row r="5">
          <cell r="A5" t="str">
            <v>On Peak</v>
          </cell>
          <cell r="B5">
            <v>1.369382746367748E-4</v>
          </cell>
          <cell r="C5">
            <v>1.7969293569575331E-4</v>
          </cell>
          <cell r="D5">
            <v>4</v>
          </cell>
          <cell r="G5">
            <v>2</v>
          </cell>
          <cell r="H5">
            <v>9.2800359841590435E-2</v>
          </cell>
          <cell r="I5">
            <v>0.10561538324464102</v>
          </cell>
          <cell r="J5">
            <v>0.13009902431398201</v>
          </cell>
          <cell r="K5">
            <v>6.4526667453299658E-2</v>
          </cell>
          <cell r="L5">
            <v>0.14294269433272935</v>
          </cell>
          <cell r="M5">
            <v>0.1080724123252276</v>
          </cell>
          <cell r="N5">
            <v>0.11274004765260676</v>
          </cell>
          <cell r="O5">
            <v>0.1036505579241048</v>
          </cell>
          <cell r="P5">
            <v>9.2728877179108299E-2</v>
          </cell>
          <cell r="Q5">
            <v>0.1212450513222444</v>
          </cell>
          <cell r="Y5" t="str">
            <v>Existing Space Heat</v>
          </cell>
          <cell r="Z5">
            <v>0.1429</v>
          </cell>
          <cell r="AB5">
            <v>2006</v>
          </cell>
          <cell r="AC5">
            <v>2</v>
          </cell>
          <cell r="AD5">
            <v>8.4625670005195885E-3</v>
          </cell>
          <cell r="AE5">
            <v>1.2925750169972638</v>
          </cell>
        </row>
        <row r="6">
          <cell r="A6" t="str">
            <v>Off Peak</v>
          </cell>
          <cell r="B6">
            <v>0</v>
          </cell>
          <cell r="C6">
            <v>0</v>
          </cell>
          <cell r="D6">
            <v>5</v>
          </cell>
          <cell r="G6">
            <v>3</v>
          </cell>
          <cell r="H6">
            <v>0.14039997693571948</v>
          </cell>
          <cell r="I6">
            <v>0.16039835724632384</v>
          </cell>
          <cell r="J6">
            <v>0.19729946978823609</v>
          </cell>
          <cell r="K6">
            <v>9.6719810877193335E-2</v>
          </cell>
          <cell r="L6">
            <v>0.22169953278212665</v>
          </cell>
          <cell r="M6">
            <v>0.16221542152888554</v>
          </cell>
          <cell r="N6">
            <v>0.17069642015082667</v>
          </cell>
          <cell r="O6">
            <v>0.15607712887672281</v>
          </cell>
          <cell r="P6">
            <v>0.13937208612427221</v>
          </cell>
          <cell r="Q6">
            <v>0.18646584276423139</v>
          </cell>
          <cell r="Y6" t="str">
            <v>New Process</v>
          </cell>
          <cell r="Z6">
            <v>1</v>
          </cell>
          <cell r="AB6">
            <v>2007</v>
          </cell>
          <cell r="AC6">
            <v>3</v>
          </cell>
          <cell r="AD6">
            <v>1.2509899250038739E-2</v>
          </cell>
          <cell r="AE6">
            <v>1.8659192012449919</v>
          </cell>
        </row>
        <row r="7">
          <cell r="A7" t="str">
            <v>Res Cooling</v>
          </cell>
          <cell r="B7">
            <v>0</v>
          </cell>
          <cell r="C7">
            <v>4.560719657729473E-4</v>
          </cell>
          <cell r="D7">
            <v>6</v>
          </cell>
          <cell r="G7">
            <v>4</v>
          </cell>
          <cell r="H7">
            <v>0.18799959402984853</v>
          </cell>
          <cell r="I7">
            <v>0.21518133124800665</v>
          </cell>
          <cell r="J7">
            <v>0.26449991526249017</v>
          </cell>
          <cell r="K7">
            <v>0.12891295430108701</v>
          </cell>
          <cell r="L7">
            <v>0.30045637123152391</v>
          </cell>
          <cell r="M7">
            <v>0.21635843073254349</v>
          </cell>
          <cell r="N7">
            <v>0.22865279264904659</v>
          </cell>
          <cell r="O7">
            <v>0.20850369982934083</v>
          </cell>
          <cell r="P7">
            <v>0.18601529506943615</v>
          </cell>
          <cell r="Q7">
            <v>0.2516866342062184</v>
          </cell>
          <cell r="Y7" t="str">
            <v>New Space Heat</v>
          </cell>
          <cell r="Z7">
            <v>0.13800000000000001</v>
          </cell>
          <cell r="AB7">
            <v>2008</v>
          </cell>
          <cell r="AC7">
            <v>4</v>
          </cell>
          <cell r="AD7">
            <v>1.643934803597966E-2</v>
          </cell>
          <cell r="AE7">
            <v>2.3958274323329798</v>
          </cell>
        </row>
        <row r="8">
          <cell r="A8" t="str">
            <v>Res DHW</v>
          </cell>
          <cell r="B8">
            <v>1.4471686532932781E-4</v>
          </cell>
          <cell r="C8">
            <v>1.2120037471331203E-4</v>
          </cell>
          <cell r="D8">
            <v>7</v>
          </cell>
          <cell r="G8">
            <v>5</v>
          </cell>
          <cell r="H8">
            <v>0.23559921112397758</v>
          </cell>
          <cell r="I8">
            <v>0.26996430524968945</v>
          </cell>
          <cell r="J8">
            <v>0.33170036073674425</v>
          </cell>
          <cell r="K8">
            <v>0.16110609772498069</v>
          </cell>
          <cell r="L8">
            <v>0.3792132096809212</v>
          </cell>
          <cell r="M8">
            <v>0.27050143993620146</v>
          </cell>
          <cell r="N8">
            <v>0.28660916514726653</v>
          </cell>
          <cell r="O8">
            <v>0.26093027078195885</v>
          </cell>
          <cell r="P8">
            <v>0.23265850401460009</v>
          </cell>
          <cell r="Q8">
            <v>0.3169074256482054</v>
          </cell>
          <cell r="Y8" t="str">
            <v>None</v>
          </cell>
          <cell r="Z8">
            <v>0</v>
          </cell>
          <cell r="AB8">
            <v>2009</v>
          </cell>
          <cell r="AC8">
            <v>5</v>
          </cell>
          <cell r="AD8">
            <v>2.0254346857281526E-2</v>
          </cell>
          <cell r="AE8">
            <v>2.885794940481158</v>
          </cell>
        </row>
        <row r="9">
          <cell r="A9" t="str">
            <v>Res HP</v>
          </cell>
          <cell r="B9">
            <v>1.6717097771270541E-4</v>
          </cell>
          <cell r="C9">
            <v>4.1906621115991547E-5</v>
          </cell>
          <cell r="D9">
            <v>8</v>
          </cell>
          <cell r="G9">
            <v>6</v>
          </cell>
          <cell r="H9">
            <v>0.2831988282181066</v>
          </cell>
          <cell r="I9">
            <v>0.32474727925137226</v>
          </cell>
          <cell r="J9">
            <v>0.39890080621099833</v>
          </cell>
          <cell r="K9">
            <v>0.19329924114887437</v>
          </cell>
          <cell r="L9">
            <v>0.4579700481303185</v>
          </cell>
          <cell r="M9">
            <v>0.3246444491398594</v>
          </cell>
          <cell r="N9">
            <v>0.34456553764548647</v>
          </cell>
          <cell r="O9">
            <v>0.3133568417345769</v>
          </cell>
          <cell r="P9">
            <v>0.27930171295976403</v>
          </cell>
          <cell r="Q9">
            <v>0.3821282170901924</v>
          </cell>
          <cell r="AB9">
            <v>2010</v>
          </cell>
          <cell r="AC9">
            <v>6</v>
          </cell>
          <cell r="AD9">
            <v>2.3958229208060039E-2</v>
          </cell>
          <cell r="AE9">
            <v>3.3390291395899805</v>
          </cell>
        </row>
        <row r="10">
          <cell r="A10" t="str">
            <v>Res SH</v>
          </cell>
          <cell r="B10">
            <v>2.5162728156740127E-4</v>
          </cell>
          <cell r="C10">
            <v>6.9906806433752534E-6</v>
          </cell>
          <cell r="D10">
            <v>9</v>
          </cell>
          <cell r="G10">
            <v>7</v>
          </cell>
          <cell r="H10">
            <v>0.33079844531223562</v>
          </cell>
          <cell r="I10">
            <v>0.37953025325305506</v>
          </cell>
          <cell r="J10">
            <v>0.4661012516852524</v>
          </cell>
          <cell r="K10">
            <v>0.22549238457276805</v>
          </cell>
          <cell r="L10">
            <v>0.53672688657971579</v>
          </cell>
          <cell r="M10">
            <v>0.37878745834351735</v>
          </cell>
          <cell r="N10">
            <v>0.40252191014370642</v>
          </cell>
          <cell r="O10">
            <v>0.36578341268719494</v>
          </cell>
          <cell r="P10">
            <v>0.32594492190492796</v>
          </cell>
          <cell r="Q10">
            <v>0.4473490085321794</v>
          </cell>
          <cell r="AB10">
            <v>2011</v>
          </cell>
          <cell r="AC10">
            <v>7</v>
          </cell>
          <cell r="AD10">
            <v>3.004333220015741E-2</v>
          </cell>
          <cell r="AE10">
            <v>3.7757293698351506</v>
          </cell>
        </row>
        <row r="11">
          <cell r="A11" t="str">
            <v>Shell Wx</v>
          </cell>
          <cell r="B11">
            <v>3.4331518021211006E-4</v>
          </cell>
          <cell r="C11">
            <v>3.1101589120941116E-5</v>
          </cell>
          <cell r="D11">
            <v>10</v>
          </cell>
          <cell r="G11">
            <v>8</v>
          </cell>
          <cell r="H11">
            <v>0.37839806240636464</v>
          </cell>
          <cell r="I11">
            <v>0.43431322725473787</v>
          </cell>
          <cell r="J11">
            <v>0.53330169715950648</v>
          </cell>
          <cell r="K11">
            <v>0.25768552799666172</v>
          </cell>
          <cell r="L11">
            <v>0.61548372502911308</v>
          </cell>
          <cell r="M11">
            <v>0.43293046754717529</v>
          </cell>
          <cell r="N11">
            <v>0.46047828264192636</v>
          </cell>
          <cell r="O11">
            <v>0.41820998363981299</v>
          </cell>
          <cell r="P11">
            <v>0.3725881308500919</v>
          </cell>
          <cell r="Q11">
            <v>0.51256979997416641</v>
          </cell>
          <cell r="AB11">
            <v>2012</v>
          </cell>
          <cell r="AC11">
            <v>8</v>
          </cell>
          <cell r="AD11">
            <v>3.5951199182776214E-2</v>
          </cell>
          <cell r="AE11">
            <v>4.1965035689478638</v>
          </cell>
        </row>
        <row r="12">
          <cell r="A12" t="str">
            <v>Solar DHW</v>
          </cell>
          <cell r="B12">
            <v>1.3535404337832553E-4</v>
          </cell>
          <cell r="C12">
            <v>4.2484080028791884E-4</v>
          </cell>
          <cell r="D12">
            <v>11</v>
          </cell>
          <cell r="G12">
            <v>9</v>
          </cell>
          <cell r="H12">
            <v>0.42599767950049366</v>
          </cell>
          <cell r="I12">
            <v>0.48909620125642067</v>
          </cell>
          <cell r="J12">
            <v>0.60050214263376056</v>
          </cell>
          <cell r="K12">
            <v>0.2898786714205554</v>
          </cell>
          <cell r="L12">
            <v>0.69424056347851038</v>
          </cell>
          <cell r="M12">
            <v>0.48707347675083323</v>
          </cell>
          <cell r="N12">
            <v>0.51843465514014631</v>
          </cell>
          <cell r="O12">
            <v>0.47063655459243103</v>
          </cell>
          <cell r="P12">
            <v>0.41923133979525584</v>
          </cell>
          <cell r="Q12">
            <v>0.57779059141615341</v>
          </cell>
          <cell r="AB12">
            <v>2013</v>
          </cell>
          <cell r="AC12">
            <v>9</v>
          </cell>
          <cell r="AD12">
            <v>4.1686992369784764E-2</v>
          </cell>
          <cell r="AE12">
            <v>4.6019371767205355</v>
          </cell>
        </row>
        <row r="13">
          <cell r="A13" t="str">
            <v>None</v>
          </cell>
          <cell r="B13">
            <v>0</v>
          </cell>
          <cell r="C13">
            <v>0</v>
          </cell>
          <cell r="G13">
            <v>10</v>
          </cell>
          <cell r="H13">
            <v>0.47359729659462274</v>
          </cell>
          <cell r="I13">
            <v>0.54387917525810348</v>
          </cell>
          <cell r="J13">
            <v>0.66770258810801453</v>
          </cell>
          <cell r="K13">
            <v>0.32207181484444908</v>
          </cell>
          <cell r="L13">
            <v>0.77299740192790767</v>
          </cell>
          <cell r="M13">
            <v>0.54121648595449112</v>
          </cell>
          <cell r="N13">
            <v>0.57639102763836614</v>
          </cell>
          <cell r="O13">
            <v>0.52306312554504897</v>
          </cell>
          <cell r="P13">
            <v>0.46587454874041967</v>
          </cell>
          <cell r="Q13">
            <v>0.64301138285814019</v>
          </cell>
          <cell r="AB13">
            <v>2014</v>
          </cell>
          <cell r="AC13">
            <v>10</v>
          </cell>
          <cell r="AD13">
            <v>4.7255723619307625E-2</v>
          </cell>
          <cell r="AE13">
            <v>4.9925939719323766</v>
          </cell>
        </row>
        <row r="14">
          <cell r="G14">
            <v>11</v>
          </cell>
          <cell r="H14">
            <v>0.51056452561162924</v>
          </cell>
          <cell r="I14">
            <v>0.58637420810338148</v>
          </cell>
          <cell r="J14">
            <v>0.7193195730327191</v>
          </cell>
          <cell r="K14">
            <v>0.3474697002333077</v>
          </cell>
          <cell r="L14">
            <v>0.83607430640049629</v>
          </cell>
          <cell r="M14">
            <v>0.58313720399169633</v>
          </cell>
          <cell r="N14">
            <v>0.62025291673152338</v>
          </cell>
          <cell r="O14">
            <v>0.562702017066261</v>
          </cell>
          <cell r="P14">
            <v>0.50128141406669102</v>
          </cell>
          <cell r="Q14">
            <v>0.6947101600536506</v>
          </cell>
          <cell r="AB14">
            <v>2015</v>
          </cell>
          <cell r="AC14">
            <v>11</v>
          </cell>
          <cell r="AD14">
            <v>5.2662258813019142E-2</v>
          </cell>
          <cell r="AE14">
            <v>5.3690168780115872</v>
          </cell>
        </row>
        <row r="15">
          <cell r="G15">
            <v>12</v>
          </cell>
          <cell r="H15">
            <v>0.54753175462863579</v>
          </cell>
          <cell r="I15">
            <v>0.62886924094865948</v>
          </cell>
          <cell r="J15">
            <v>0.77093655795742366</v>
          </cell>
          <cell r="K15">
            <v>0.37286758562216632</v>
          </cell>
          <cell r="L15">
            <v>0.89915121087308503</v>
          </cell>
          <cell r="M15">
            <v>0.62505792202890154</v>
          </cell>
          <cell r="N15">
            <v>0.66411480582468063</v>
          </cell>
          <cell r="O15">
            <v>0.60234090858747302</v>
          </cell>
          <cell r="P15">
            <v>0.53668827939296238</v>
          </cell>
          <cell r="Q15">
            <v>0.74640893724916102</v>
          </cell>
          <cell r="AB15">
            <v>2016</v>
          </cell>
          <cell r="AC15">
            <v>12</v>
          </cell>
          <cell r="AD15">
            <v>5.7911322107884695E-2</v>
          </cell>
          <cell r="AE15">
            <v>5.7351786184490807</v>
          </cell>
        </row>
        <row r="16">
          <cell r="G16">
            <v>13</v>
          </cell>
          <cell r="H16">
            <v>0.58449898364564234</v>
          </cell>
          <cell r="I16">
            <v>0.67136427379393748</v>
          </cell>
          <cell r="J16">
            <v>0.82255354288212823</v>
          </cell>
          <cell r="K16">
            <v>0.39826547101102494</v>
          </cell>
          <cell r="L16">
            <v>0.96222811534567376</v>
          </cell>
          <cell r="M16">
            <v>0.66697864006610674</v>
          </cell>
          <cell r="N16">
            <v>0.70797669491783788</v>
          </cell>
          <cell r="O16">
            <v>0.64197980010868505</v>
          </cell>
          <cell r="P16">
            <v>0.57209514471923373</v>
          </cell>
          <cell r="Q16">
            <v>0.79810771444467143</v>
          </cell>
          <cell r="AB16">
            <v>2017</v>
          </cell>
          <cell r="AC16">
            <v>13</v>
          </cell>
          <cell r="AD16">
            <v>7.7967869911907683E-2</v>
          </cell>
          <cell r="AE16">
            <v>6.0913591768809345</v>
          </cell>
        </row>
        <row r="17">
          <cell r="G17">
            <v>14</v>
          </cell>
          <cell r="H17">
            <v>0.6214662126626489</v>
          </cell>
          <cell r="I17">
            <v>0.71385930663921549</v>
          </cell>
          <cell r="J17">
            <v>0.8741705278068328</v>
          </cell>
          <cell r="K17">
            <v>0.42366335639988356</v>
          </cell>
          <cell r="L17">
            <v>1.0253050198182625</v>
          </cell>
          <cell r="M17">
            <v>0.70889935810331195</v>
          </cell>
          <cell r="N17">
            <v>0.75183858401099513</v>
          </cell>
          <cell r="O17">
            <v>0.68161869162989708</v>
          </cell>
          <cell r="P17">
            <v>0.60750201004550508</v>
          </cell>
          <cell r="Q17">
            <v>0.84980649164018185</v>
          </cell>
          <cell r="AB17">
            <v>2018</v>
          </cell>
          <cell r="AC17">
            <v>14</v>
          </cell>
          <cell r="AD17">
            <v>0.13449797051354906</v>
          </cell>
          <cell r="AE17">
            <v>6.4378308896932648</v>
          </cell>
        </row>
        <row r="18">
          <cell r="G18">
            <v>15</v>
          </cell>
          <cell r="H18">
            <v>0.65843344167965545</v>
          </cell>
          <cell r="I18">
            <v>0.75635433948449349</v>
          </cell>
          <cell r="J18">
            <v>0.92578751273153737</v>
          </cell>
          <cell r="K18">
            <v>0.44906124178874218</v>
          </cell>
          <cell r="L18">
            <v>1.0883819242908512</v>
          </cell>
          <cell r="M18">
            <v>0.75082007614051716</v>
          </cell>
          <cell r="N18">
            <v>0.79570047310415237</v>
          </cell>
          <cell r="O18">
            <v>0.72125758315110911</v>
          </cell>
          <cell r="P18">
            <v>0.64290887537177643</v>
          </cell>
          <cell r="Q18">
            <v>0.90150526883569226</v>
          </cell>
          <cell r="AB18">
            <v>2019</v>
          </cell>
          <cell r="AC18">
            <v>15</v>
          </cell>
          <cell r="AD18">
            <v>0.15340319042496672</v>
          </cell>
          <cell r="AE18">
            <v>6.7748586551136309</v>
          </cell>
        </row>
        <row r="19">
          <cell r="G19">
            <v>16</v>
          </cell>
          <cell r="H19">
            <v>0.695400670696662</v>
          </cell>
          <cell r="I19">
            <v>0.79884937232977149</v>
          </cell>
          <cell r="J19">
            <v>0.97740449765624193</v>
          </cell>
          <cell r="K19">
            <v>0.4744591271776008</v>
          </cell>
          <cell r="L19">
            <v>1.15145882876344</v>
          </cell>
          <cell r="M19">
            <v>0.79274079417772236</v>
          </cell>
          <cell r="N19">
            <v>0.83956236219730962</v>
          </cell>
          <cell r="O19">
            <v>0.76089647467232113</v>
          </cell>
          <cell r="P19">
            <v>0.67831574069804779</v>
          </cell>
          <cell r="Q19">
            <v>0.95320404603120268</v>
          </cell>
          <cell r="AB19">
            <v>2020</v>
          </cell>
          <cell r="AC19">
            <v>16</v>
          </cell>
          <cell r="AD19">
            <v>0.20668823199499345</v>
          </cell>
          <cell r="AE19">
            <v>7.1027001365791298</v>
          </cell>
        </row>
        <row r="20">
          <cell r="G20">
            <v>17</v>
          </cell>
          <cell r="H20">
            <v>0.73236789971366856</v>
          </cell>
          <cell r="I20">
            <v>0.84134440517504949</v>
          </cell>
          <cell r="J20">
            <v>1.0290214825809465</v>
          </cell>
          <cell r="K20">
            <v>0.49985701256645942</v>
          </cell>
          <cell r="L20">
            <v>1.2145357332360287</v>
          </cell>
          <cell r="M20">
            <v>0.83466151221492757</v>
          </cell>
          <cell r="N20">
            <v>0.88342425129046687</v>
          </cell>
          <cell r="O20">
            <v>0.80053536619353316</v>
          </cell>
          <cell r="P20">
            <v>0.71372260602431914</v>
          </cell>
          <cell r="Q20">
            <v>1.004902823226713</v>
          </cell>
          <cell r="AB20">
            <v>2021</v>
          </cell>
          <cell r="AC20">
            <v>17</v>
          </cell>
          <cell r="AD20">
            <v>0.22450821494476975</v>
          </cell>
          <cell r="AE20">
            <v>7.4227948163181345</v>
          </cell>
        </row>
        <row r="21">
          <cell r="G21">
            <v>18</v>
          </cell>
          <cell r="H21">
            <v>0.76933512873067511</v>
          </cell>
          <cell r="I21">
            <v>0.88383943802032749</v>
          </cell>
          <cell r="J21">
            <v>1.0806384675056511</v>
          </cell>
          <cell r="K21">
            <v>0.5252548979553181</v>
          </cell>
          <cell r="L21">
            <v>1.2776126377086174</v>
          </cell>
          <cell r="M21">
            <v>0.87658223025213278</v>
          </cell>
          <cell r="N21">
            <v>0.92728614038362411</v>
          </cell>
          <cell r="O21">
            <v>0.84017425771474519</v>
          </cell>
          <cell r="P21">
            <v>0.74912947135059049</v>
          </cell>
          <cell r="Q21">
            <v>1.0566016004222234</v>
          </cell>
          <cell r="AB21">
            <v>2022</v>
          </cell>
          <cell r="AC21">
            <v>18</v>
          </cell>
          <cell r="AD21">
            <v>0.24180916926494087</v>
          </cell>
          <cell r="AE21">
            <v>7.7353277469195625</v>
          </cell>
        </row>
        <row r="22">
          <cell r="G22">
            <v>19</v>
          </cell>
          <cell r="H22">
            <v>0.80630235774768166</v>
          </cell>
          <cell r="I22">
            <v>0.9263344708656055</v>
          </cell>
          <cell r="J22">
            <v>1.1322554524303556</v>
          </cell>
          <cell r="K22">
            <v>0.55065278334417678</v>
          </cell>
          <cell r="L22">
            <v>1.3406895421812062</v>
          </cell>
          <cell r="M22">
            <v>0.91850294828933798</v>
          </cell>
          <cell r="N22">
            <v>0.97114802947678136</v>
          </cell>
          <cell r="O22">
            <v>0.87981314923595721</v>
          </cell>
          <cell r="P22">
            <v>0.78453633667686185</v>
          </cell>
          <cell r="Q22">
            <v>1.1083003776177338</v>
          </cell>
          <cell r="AB22">
            <v>2023</v>
          </cell>
          <cell r="AC22">
            <v>19</v>
          </cell>
          <cell r="AD22">
            <v>0.26705751884615664</v>
          </cell>
          <cell r="AE22">
            <v>8.0404795050484612</v>
          </cell>
        </row>
        <row r="23">
          <cell r="G23">
            <v>20</v>
          </cell>
          <cell r="H23">
            <v>0.84326958676468822</v>
          </cell>
          <cell r="I23">
            <v>0.96882950371088328</v>
          </cell>
          <cell r="J23">
            <v>1.1838724373550606</v>
          </cell>
          <cell r="K23">
            <v>0.57605066873303534</v>
          </cell>
          <cell r="L23">
            <v>1.4037664466537945</v>
          </cell>
          <cell r="M23">
            <v>0.96042366632654363</v>
          </cell>
          <cell r="N23">
            <v>1.0150099185699391</v>
          </cell>
          <cell r="O23">
            <v>0.91945204075716958</v>
          </cell>
          <cell r="P23">
            <v>0.81994320200313342</v>
          </cell>
          <cell r="Q23">
            <v>1.1599991548132442</v>
          </cell>
          <cell r="AB23">
            <v>2024</v>
          </cell>
          <cell r="AC23">
            <v>20</v>
          </cell>
          <cell r="AD23">
            <v>0.29157047960461852</v>
          </cell>
          <cell r="AE23">
            <v>8.3384263012294646</v>
          </cell>
        </row>
        <row r="24">
          <cell r="G24">
            <v>21</v>
          </cell>
          <cell r="H24">
            <v>0.87018472416634374</v>
          </cell>
          <cell r="I24">
            <v>0.99922016042084216</v>
          </cell>
          <cell r="J24">
            <v>1.223325280641723</v>
          </cell>
          <cell r="K24">
            <v>0.59546005345112241</v>
          </cell>
          <cell r="L24">
            <v>1.4474725209441246</v>
          </cell>
          <cell r="M24">
            <v>0.99106243256974846</v>
          </cell>
          <cell r="N24">
            <v>1.0477460661980871</v>
          </cell>
          <cell r="O24">
            <v>0.94926321641552669</v>
          </cell>
          <cell r="P24">
            <v>0.84635832491260798</v>
          </cell>
          <cell r="Q24">
            <v>1.195026692773532</v>
          </cell>
          <cell r="AB24">
            <v>2025</v>
          </cell>
          <cell r="AC24">
            <v>21</v>
          </cell>
          <cell r="AD24">
            <v>0.33753462453919891</v>
          </cell>
          <cell r="AE24">
            <v>8.629340086896244</v>
          </cell>
        </row>
        <row r="25">
          <cell r="G25">
            <v>22</v>
          </cell>
          <cell r="H25">
            <v>0.89709986156799926</v>
          </cell>
          <cell r="I25">
            <v>1.0296108171308009</v>
          </cell>
          <cell r="J25">
            <v>1.2627781239283853</v>
          </cell>
          <cell r="K25">
            <v>0.61486943816920947</v>
          </cell>
          <cell r="L25">
            <v>1.4911785952344547</v>
          </cell>
          <cell r="M25">
            <v>1.0217011988129532</v>
          </cell>
          <cell r="N25">
            <v>1.0804822138262351</v>
          </cell>
          <cell r="O25">
            <v>0.9790743920738838</v>
          </cell>
          <cell r="P25">
            <v>0.87277344782208255</v>
          </cell>
          <cell r="Q25">
            <v>1.2300542307338198</v>
          </cell>
          <cell r="AB25">
            <v>2026</v>
          </cell>
          <cell r="AC25">
            <v>22</v>
          </cell>
          <cell r="AD25">
            <v>0.38216000797083033</v>
          </cell>
          <cell r="AE25">
            <v>8.9133463330074143</v>
          </cell>
        </row>
        <row r="26">
          <cell r="G26">
            <v>23</v>
          </cell>
          <cell r="H26">
            <v>0.92401499896965478</v>
          </cell>
          <cell r="I26">
            <v>1.0600014738407597</v>
          </cell>
          <cell r="J26">
            <v>1.3022309672150476</v>
          </cell>
          <cell r="K26">
            <v>0.63427882288729653</v>
          </cell>
          <cell r="L26">
            <v>1.5348846695247849</v>
          </cell>
          <cell r="M26">
            <v>1.052339965056158</v>
          </cell>
          <cell r="N26">
            <v>1.1132183614543831</v>
          </cell>
          <cell r="O26">
            <v>1.008885567732241</v>
          </cell>
          <cell r="P26">
            <v>0.89918857073155711</v>
          </cell>
          <cell r="Q26">
            <v>1.2650817686941076</v>
          </cell>
          <cell r="AB26">
            <v>2027</v>
          </cell>
          <cell r="AC26">
            <v>23</v>
          </cell>
          <cell r="AD26">
            <v>0.43307905819658699</v>
          </cell>
          <cell r="AE26">
            <v>9.1906006277781138</v>
          </cell>
        </row>
        <row r="27">
          <cell r="G27">
            <v>24</v>
          </cell>
          <cell r="H27">
            <v>0.9509301363713103</v>
          </cell>
          <cell r="I27">
            <v>1.0903921305507185</v>
          </cell>
          <cell r="J27">
            <v>1.3416838105017099</v>
          </cell>
          <cell r="K27">
            <v>0.6536882076053836</v>
          </cell>
          <cell r="L27">
            <v>1.578590743815115</v>
          </cell>
          <cell r="M27">
            <v>1.0829787312993628</v>
          </cell>
          <cell r="N27">
            <v>1.1459545090825312</v>
          </cell>
          <cell r="O27">
            <v>1.0386967433905983</v>
          </cell>
          <cell r="P27">
            <v>0.92560369364103168</v>
          </cell>
          <cell r="Q27">
            <v>1.3001093066543954</v>
          </cell>
          <cell r="AB27">
            <v>2028</v>
          </cell>
          <cell r="AC27">
            <v>24</v>
          </cell>
          <cell r="AD27">
            <v>0.48251502928955464</v>
          </cell>
          <cell r="AE27">
            <v>9.4612553559489747</v>
          </cell>
        </row>
        <row r="28">
          <cell r="G28">
            <v>25</v>
          </cell>
          <cell r="H28">
            <v>0.97784527377296582</v>
          </cell>
          <cell r="I28">
            <v>1.1207827872606773</v>
          </cell>
          <cell r="J28">
            <v>1.3811366537883722</v>
          </cell>
          <cell r="K28">
            <v>0.67309759232347066</v>
          </cell>
          <cell r="L28">
            <v>1.6222968181054451</v>
          </cell>
          <cell r="M28">
            <v>1.1136174975425677</v>
          </cell>
          <cell r="N28">
            <v>1.1786906567106792</v>
          </cell>
          <cell r="O28">
            <v>1.0685079190489555</v>
          </cell>
          <cell r="P28">
            <v>0.95201881655050624</v>
          </cell>
          <cell r="Q28">
            <v>1.3351368446146832</v>
          </cell>
          <cell r="AB28">
            <v>2029</v>
          </cell>
          <cell r="AC28">
            <v>25</v>
          </cell>
          <cell r="AD28">
            <v>0.52335357673244887</v>
          </cell>
          <cell r="AE28">
            <v>9.7254597534051701</v>
          </cell>
        </row>
        <row r="29">
          <cell r="G29">
            <v>26</v>
          </cell>
          <cell r="H29">
            <v>1.0047604111746213</v>
          </cell>
          <cell r="I29">
            <v>1.151173443970636</v>
          </cell>
          <cell r="J29">
            <v>1.4205894970750346</v>
          </cell>
          <cell r="K29">
            <v>0.69250697704155773</v>
          </cell>
          <cell r="L29">
            <v>1.6660028923957753</v>
          </cell>
          <cell r="M29">
            <v>1.1442562637857725</v>
          </cell>
          <cell r="N29">
            <v>1.2114268043388272</v>
          </cell>
          <cell r="O29">
            <v>1.0983190947073127</v>
          </cell>
          <cell r="P29">
            <v>0.97843393945998081</v>
          </cell>
          <cell r="Q29">
            <v>1.370164382574971</v>
          </cell>
          <cell r="AB29">
            <v>2030</v>
          </cell>
          <cell r="AC29">
            <v>26</v>
          </cell>
          <cell r="AD29">
            <v>0.56300265191972465</v>
          </cell>
          <cell r="AE29">
            <v>9.9833599613313648</v>
          </cell>
        </row>
        <row r="30">
          <cell r="G30">
            <v>27</v>
          </cell>
          <cell r="H30">
            <v>1.031675548576277</v>
          </cell>
          <cell r="I30">
            <v>1.1815641006805948</v>
          </cell>
          <cell r="J30">
            <v>1.4600423403616969</v>
          </cell>
          <cell r="K30">
            <v>0.71191636175964479</v>
          </cell>
          <cell r="L30">
            <v>1.7097089666861054</v>
          </cell>
          <cell r="M30">
            <v>1.1748950300289773</v>
          </cell>
          <cell r="N30">
            <v>1.2441629519669752</v>
          </cell>
          <cell r="O30">
            <v>1.1281302703656699</v>
          </cell>
          <cell r="P30">
            <v>1.0048490623694555</v>
          </cell>
          <cell r="Q30">
            <v>1.4051919205352588</v>
          </cell>
          <cell r="AB30">
            <v>2031</v>
          </cell>
          <cell r="AC30">
            <v>27</v>
          </cell>
          <cell r="AD30">
            <v>0.57528187053148494</v>
          </cell>
          <cell r="AE30">
            <v>10.235099079883316</v>
          </cell>
        </row>
        <row r="31">
          <cell r="G31">
            <v>28</v>
          </cell>
          <cell r="H31">
            <v>1.0585906859779326</v>
          </cell>
          <cell r="I31">
            <v>1.2119547573905536</v>
          </cell>
          <cell r="J31">
            <v>1.4994951836483592</v>
          </cell>
          <cell r="K31">
            <v>0.73132574647773185</v>
          </cell>
          <cell r="L31">
            <v>1.7534150409764355</v>
          </cell>
          <cell r="M31">
            <v>1.2055337962721822</v>
          </cell>
          <cell r="N31">
            <v>1.2768990995951233</v>
          </cell>
          <cell r="O31">
            <v>1.1579414460240272</v>
          </cell>
          <cell r="P31">
            <v>1.0312641852789302</v>
          </cell>
          <cell r="Q31">
            <v>1.4402194584955466</v>
          </cell>
          <cell r="AB31">
            <v>2032</v>
          </cell>
          <cell r="AC31">
            <v>28</v>
          </cell>
          <cell r="AD31">
            <v>0.61920509054872108</v>
          </cell>
          <cell r="AE31">
            <v>10.480817221358313</v>
          </cell>
        </row>
        <row r="32">
          <cell r="G32">
            <v>29</v>
          </cell>
          <cell r="H32">
            <v>1.0855058233795882</v>
          </cell>
          <cell r="I32">
            <v>1.2423454141005124</v>
          </cell>
          <cell r="J32">
            <v>1.5389480269350215</v>
          </cell>
          <cell r="K32">
            <v>0.75073513119581892</v>
          </cell>
          <cell r="L32">
            <v>1.7971211152667657</v>
          </cell>
          <cell r="M32">
            <v>1.236172562515387</v>
          </cell>
          <cell r="N32">
            <v>1.3096352472232713</v>
          </cell>
          <cell r="O32">
            <v>1.1877526216823844</v>
          </cell>
          <cell r="P32">
            <v>1.0576793081884048</v>
          </cell>
          <cell r="Q32">
            <v>1.4752469964558343</v>
          </cell>
          <cell r="AB32">
            <v>2033</v>
          </cell>
          <cell r="AC32">
            <v>29</v>
          </cell>
          <cell r="AD32">
            <v>0.66184899347807657</v>
          </cell>
          <cell r="AE32">
            <v>10.720651562848129</v>
          </cell>
        </row>
        <row r="33">
          <cell r="G33">
            <v>30</v>
          </cell>
          <cell r="H33">
            <v>1.1124209607812439</v>
          </cell>
          <cell r="I33">
            <v>1.2727360708104718</v>
          </cell>
          <cell r="J33">
            <v>1.5784008702216847</v>
          </cell>
          <cell r="K33">
            <v>0.77014451591390631</v>
          </cell>
          <cell r="L33">
            <v>1.8408271895570962</v>
          </cell>
          <cell r="M33">
            <v>1.2668113287585916</v>
          </cell>
          <cell r="N33">
            <v>1.34237139485142</v>
          </cell>
          <cell r="O33">
            <v>1.2175637973407409</v>
          </cell>
          <cell r="P33">
            <v>1.0840944310978795</v>
          </cell>
          <cell r="Q33">
            <v>1.5102745344161215</v>
          </cell>
          <cell r="AB33">
            <v>2034</v>
          </cell>
          <cell r="AC33">
            <v>30</v>
          </cell>
          <cell r="AD33">
            <v>0.70325084098230517</v>
          </cell>
          <cell r="AE33">
            <v>10.957323046522811</v>
          </cell>
        </row>
        <row r="34">
          <cell r="G34">
            <v>31</v>
          </cell>
          <cell r="H34">
            <v>1.1324483515795338</v>
          </cell>
          <cell r="I34">
            <v>1.2953495737533849</v>
          </cell>
          <cell r="J34">
            <v>1.6077574893717592</v>
          </cell>
          <cell r="K34">
            <v>0.78458692073467906</v>
          </cell>
          <cell r="L34">
            <v>1.8733486111478757</v>
          </cell>
          <cell r="M34">
            <v>1.2896094479650766</v>
          </cell>
          <cell r="N34">
            <v>1.3667301731857737</v>
          </cell>
          <cell r="O34">
            <v>1.2397461105342309</v>
          </cell>
          <cell r="P34">
            <v>1.1037497627446347</v>
          </cell>
          <cell r="Q34">
            <v>1.5363383127705348</v>
          </cell>
          <cell r="AB34">
            <v>2035</v>
          </cell>
          <cell r="AC34">
            <v>31</v>
          </cell>
          <cell r="AD34">
            <v>0.74344680943301256</v>
          </cell>
          <cell r="AE34">
            <v>11.188759448703577</v>
          </cell>
        </row>
        <row r="35">
          <cell r="G35">
            <v>32</v>
          </cell>
          <cell r="H35">
            <v>1.1524757423778238</v>
          </cell>
          <cell r="I35">
            <v>1.317963076696298</v>
          </cell>
          <cell r="J35">
            <v>1.6371141085218337</v>
          </cell>
          <cell r="K35">
            <v>0.79902932555545181</v>
          </cell>
          <cell r="L35">
            <v>1.9058700327386551</v>
          </cell>
          <cell r="M35">
            <v>1.3124075671715616</v>
          </cell>
          <cell r="N35">
            <v>1.3910889515201275</v>
          </cell>
          <cell r="O35">
            <v>1.2619284237277208</v>
          </cell>
          <cell r="P35">
            <v>1.1234050943913898</v>
          </cell>
          <cell r="Q35">
            <v>1.5624020911249481</v>
          </cell>
          <cell r="AB35">
            <v>2036</v>
          </cell>
          <cell r="AC35">
            <v>32</v>
          </cell>
          <cell r="AD35">
            <v>0.78247202152107798</v>
          </cell>
          <cell r="AE35">
            <v>11.415116950697461</v>
          </cell>
        </row>
        <row r="36">
          <cell r="G36">
            <v>33</v>
          </cell>
          <cell r="H36">
            <v>1.1725031331761138</v>
          </cell>
          <cell r="I36">
            <v>1.3405765796392111</v>
          </cell>
          <cell r="J36">
            <v>1.6664707276719082</v>
          </cell>
          <cell r="K36">
            <v>0.81347173037622456</v>
          </cell>
          <cell r="L36">
            <v>1.9383914543294345</v>
          </cell>
          <cell r="M36">
            <v>1.3352056863780466</v>
          </cell>
          <cell r="N36">
            <v>1.4154477298544812</v>
          </cell>
          <cell r="O36">
            <v>1.2841107369212108</v>
          </cell>
          <cell r="P36">
            <v>1.1430604260381449</v>
          </cell>
          <cell r="Q36">
            <v>1.5884658694793614</v>
          </cell>
          <cell r="AB36">
            <v>2037</v>
          </cell>
          <cell r="AC36">
            <v>33</v>
          </cell>
          <cell r="AD36">
            <v>0.8203605769463842</v>
          </cell>
          <cell r="AE36">
            <v>11.636545562356241</v>
          </cell>
        </row>
        <row r="37">
          <cell r="G37">
            <v>34</v>
          </cell>
          <cell r="H37">
            <v>1.1925305239744037</v>
          </cell>
          <cell r="I37">
            <v>1.3631900825821242</v>
          </cell>
          <cell r="J37">
            <v>1.6958273468219827</v>
          </cell>
          <cell r="K37">
            <v>0.8279141351969973</v>
          </cell>
          <cell r="L37">
            <v>1.9709128759202139</v>
          </cell>
          <cell r="M37">
            <v>1.3580038055845316</v>
          </cell>
          <cell r="N37">
            <v>1.4398065081888349</v>
          </cell>
          <cell r="O37">
            <v>1.3062930501147008</v>
          </cell>
          <cell r="P37">
            <v>1.1627157576849001</v>
          </cell>
          <cell r="Q37">
            <v>1.6145296478337747</v>
          </cell>
          <cell r="AB37">
            <v>2038</v>
          </cell>
          <cell r="AC37">
            <v>34</v>
          </cell>
          <cell r="AD37">
            <v>0.85714558221367176</v>
          </cell>
          <cell r="AE37">
            <v>11.853189393199679</v>
          </cell>
        </row>
        <row r="38">
          <cell r="G38">
            <v>35</v>
          </cell>
          <cell r="H38">
            <v>1.2125579147726937</v>
          </cell>
          <cell r="I38">
            <v>1.3858035855250372</v>
          </cell>
          <cell r="J38">
            <v>1.7251839659720571</v>
          </cell>
          <cell r="K38">
            <v>0.84235654001777005</v>
          </cell>
          <cell r="L38">
            <v>2.0034342975109936</v>
          </cell>
          <cell r="M38">
            <v>1.3808019247910166</v>
          </cell>
          <cell r="N38">
            <v>1.4641652865231887</v>
          </cell>
          <cell r="O38">
            <v>1.3284753633081907</v>
          </cell>
          <cell r="P38">
            <v>1.1823710893316552</v>
          </cell>
          <cell r="Q38">
            <v>1.640593426188188</v>
          </cell>
          <cell r="AB38">
            <v>2039</v>
          </cell>
          <cell r="AC38">
            <v>35</v>
          </cell>
          <cell r="AD38">
            <v>0.89285917956055294</v>
          </cell>
          <cell r="AE38">
            <v>12.065186911695758</v>
          </cell>
        </row>
        <row r="39">
          <cell r="G39">
            <v>36</v>
          </cell>
          <cell r="H39">
            <v>1.2325853055709837</v>
          </cell>
          <cell r="I39">
            <v>1.4084170884679503</v>
          </cell>
          <cell r="J39">
            <v>1.7545405851221316</v>
          </cell>
          <cell r="K39">
            <v>0.8567989448385428</v>
          </cell>
          <cell r="L39">
            <v>2.0359557191017732</v>
          </cell>
          <cell r="M39">
            <v>1.4036000439975016</v>
          </cell>
          <cell r="N39">
            <v>1.4885240648575424</v>
          </cell>
          <cell r="O39">
            <v>1.3506576765016807</v>
          </cell>
          <cell r="P39">
            <v>1.2020264209784104</v>
          </cell>
          <cell r="Q39">
            <v>1.6666572045426014</v>
          </cell>
          <cell r="AB39">
            <v>2040</v>
          </cell>
          <cell r="AC39">
            <v>36</v>
          </cell>
          <cell r="AD39">
            <v>0.92753257504296183</v>
          </cell>
          <cell r="AE39">
            <v>12.272671193195185</v>
          </cell>
        </row>
        <row r="40">
          <cell r="G40">
            <v>37</v>
          </cell>
          <cell r="H40">
            <v>1.2526126963692736</v>
          </cell>
          <cell r="I40">
            <v>1.4310305914108634</v>
          </cell>
          <cell r="J40">
            <v>1.7838972042722061</v>
          </cell>
          <cell r="K40">
            <v>0.87124134965931554</v>
          </cell>
          <cell r="L40">
            <v>2.0684771406925528</v>
          </cell>
          <cell r="M40">
            <v>1.4263981632039866</v>
          </cell>
          <cell r="N40">
            <v>1.5128828431918961</v>
          </cell>
          <cell r="O40">
            <v>1.3728399896951706</v>
          </cell>
          <cell r="P40">
            <v>1.2216817526251655</v>
          </cell>
          <cell r="Q40">
            <v>1.6927209828970147</v>
          </cell>
          <cell r="AB40">
            <v>2041</v>
          </cell>
          <cell r="AC40">
            <v>37</v>
          </cell>
          <cell r="AD40">
            <v>0.9611960658025821</v>
          </cell>
          <cell r="AE40">
            <v>12.475770156997472</v>
          </cell>
        </row>
        <row r="41">
          <cell r="G41">
            <v>38</v>
          </cell>
          <cell r="H41">
            <v>1.2726400871675636</v>
          </cell>
          <cell r="I41">
            <v>1.4536440943537765</v>
          </cell>
          <cell r="J41">
            <v>1.8132538234222806</v>
          </cell>
          <cell r="K41">
            <v>0.88568375448008829</v>
          </cell>
          <cell r="L41">
            <v>2.1009985622833325</v>
          </cell>
          <cell r="M41">
            <v>1.4491962824104716</v>
          </cell>
          <cell r="N41">
            <v>1.5372416215262499</v>
          </cell>
          <cell r="O41">
            <v>1.3950223028886606</v>
          </cell>
          <cell r="P41">
            <v>1.2413370842719207</v>
          </cell>
          <cell r="Q41">
            <v>1.718784761251428</v>
          </cell>
          <cell r="AB41">
            <v>2042</v>
          </cell>
          <cell r="AC41">
            <v>38</v>
          </cell>
          <cell r="AD41">
            <v>0.99387906654007763</v>
          </cell>
          <cell r="AE41">
            <v>12.674606793006642</v>
          </cell>
        </row>
        <row r="42">
          <cell r="G42">
            <v>39</v>
          </cell>
          <cell r="H42">
            <v>1.2926674779658536</v>
          </cell>
          <cell r="I42">
            <v>1.4762575972966896</v>
          </cell>
          <cell r="J42">
            <v>1.8426104425723551</v>
          </cell>
          <cell r="K42">
            <v>0.90012615930086104</v>
          </cell>
          <cell r="L42">
            <v>2.1335199838741121</v>
          </cell>
          <cell r="M42">
            <v>1.4719944016169566</v>
          </cell>
          <cell r="N42">
            <v>1.5616003998606036</v>
          </cell>
          <cell r="O42">
            <v>1.4172046160821505</v>
          </cell>
          <cell r="P42">
            <v>1.2609924159186758</v>
          </cell>
          <cell r="Q42">
            <v>1.7448485396058413</v>
          </cell>
          <cell r="AB42">
            <v>2043</v>
          </cell>
          <cell r="AC42">
            <v>39</v>
          </cell>
          <cell r="AD42">
            <v>1.0256101352172577</v>
          </cell>
          <cell r="AE42">
            <v>12.86929937841612</v>
          </cell>
        </row>
        <row r="43">
          <cell r="G43">
            <v>40</v>
          </cell>
          <cell r="H43">
            <v>1.3126948687641427</v>
          </cell>
          <cell r="I43">
            <v>1.4988711002396033</v>
          </cell>
          <cell r="J43">
            <v>1.8719670617224289</v>
          </cell>
          <cell r="K43">
            <v>0.91456856412163356</v>
          </cell>
          <cell r="L43">
            <v>2.1660414054648909</v>
          </cell>
          <cell r="M43">
            <v>1.4947925208234418</v>
          </cell>
          <cell r="N43">
            <v>1.5859591781949585</v>
          </cell>
          <cell r="O43">
            <v>1.43938692927564</v>
          </cell>
          <cell r="P43">
            <v>1.2806477475654321</v>
          </cell>
          <cell r="Q43">
            <v>1.7709123179602548</v>
          </cell>
          <cell r="AB43">
            <v>2044</v>
          </cell>
          <cell r="AC43">
            <v>40</v>
          </cell>
          <cell r="AD43">
            <v>1.0564169980106364</v>
          </cell>
          <cell r="AE43">
            <v>13.059961684844618</v>
          </cell>
        </row>
        <row r="44">
          <cell r="G44">
            <v>41</v>
          </cell>
          <cell r="H44">
            <v>1.3275971284540824</v>
          </cell>
          <cell r="I44">
            <v>1.5156976717964192</v>
          </cell>
          <cell r="J44">
            <v>1.8938111450643094</v>
          </cell>
          <cell r="K44">
            <v>0.92531506944517217</v>
          </cell>
          <cell r="L44">
            <v>2.1902404025704518</v>
          </cell>
          <cell r="M44">
            <v>1.5117564636626757</v>
          </cell>
          <cell r="N44">
            <v>1.6040843889707095</v>
          </cell>
          <cell r="O44">
            <v>1.4558926568319039</v>
          </cell>
          <cell r="P44">
            <v>1.2952731603289684</v>
          </cell>
          <cell r="Q44">
            <v>1.7903062170109147</v>
          </cell>
          <cell r="AB44">
            <v>2045</v>
          </cell>
          <cell r="AC44">
            <v>41</v>
          </cell>
          <cell r="AD44">
            <v>1.0863265735381884</v>
          </cell>
          <cell r="AE44">
            <v>13.246703176327733</v>
          </cell>
        </row>
        <row r="45">
          <cell r="G45">
            <v>42</v>
          </cell>
          <cell r="H45">
            <v>1.3424993881440221</v>
          </cell>
          <cell r="I45">
            <v>1.5325242433532351</v>
          </cell>
          <cell r="J45">
            <v>1.9156552284061898</v>
          </cell>
          <cell r="K45">
            <v>0.93606157476871077</v>
          </cell>
          <cell r="L45">
            <v>2.2144393996760128</v>
          </cell>
          <cell r="M45">
            <v>1.5287204065019095</v>
          </cell>
          <cell r="N45">
            <v>1.6222095997464605</v>
          </cell>
          <cell r="O45">
            <v>1.4723983843881678</v>
          </cell>
          <cell r="P45">
            <v>1.3098985730925048</v>
          </cell>
          <cell r="Q45">
            <v>1.8097001160615747</v>
          </cell>
          <cell r="AB45">
            <v>2046</v>
          </cell>
          <cell r="AC45">
            <v>42</v>
          </cell>
          <cell r="AD45">
            <v>1.1153649963804719</v>
          </cell>
          <cell r="AE45">
            <v>13.429629198553531</v>
          </cell>
        </row>
        <row r="46">
          <cell r="G46">
            <v>43</v>
          </cell>
          <cell r="H46">
            <v>1.3574016478339619</v>
          </cell>
          <cell r="I46">
            <v>1.549350814910051</v>
          </cell>
          <cell r="J46">
            <v>1.9374993117480703</v>
          </cell>
          <cell r="K46">
            <v>0.94680808009224937</v>
          </cell>
          <cell r="L46">
            <v>2.2386383967815737</v>
          </cell>
          <cell r="M46">
            <v>1.5456843493411434</v>
          </cell>
          <cell r="N46">
            <v>1.6403348105222115</v>
          </cell>
          <cell r="O46">
            <v>1.4889041119444317</v>
          </cell>
          <cell r="P46">
            <v>1.3245239858560411</v>
          </cell>
          <cell r="Q46">
            <v>1.8290940151122346</v>
          </cell>
          <cell r="AB46">
            <v>2047</v>
          </cell>
          <cell r="AC46">
            <v>43</v>
          </cell>
          <cell r="AD46">
            <v>1.1435576399166696</v>
          </cell>
          <cell r="AE46">
            <v>13.608841159714657</v>
          </cell>
        </row>
        <row r="47">
          <cell r="G47">
            <v>44</v>
          </cell>
          <cell r="H47">
            <v>1.3723039075239016</v>
          </cell>
          <cell r="I47">
            <v>1.5661773864668669</v>
          </cell>
          <cell r="J47">
            <v>1.9593433950899508</v>
          </cell>
          <cell r="K47">
            <v>0.95755458541578797</v>
          </cell>
          <cell r="L47">
            <v>2.2628373938871347</v>
          </cell>
          <cell r="M47">
            <v>1.5626482921803773</v>
          </cell>
          <cell r="N47">
            <v>1.6584600212979625</v>
          </cell>
          <cell r="O47">
            <v>1.5054098395006956</v>
          </cell>
          <cell r="P47">
            <v>1.3391493986195775</v>
          </cell>
          <cell r="Q47">
            <v>1.8484879141628945</v>
          </cell>
          <cell r="AB47">
            <v>2048</v>
          </cell>
          <cell r="AC47">
            <v>44</v>
          </cell>
          <cell r="AD47">
            <v>1.1709291384955023</v>
          </cell>
          <cell r="AE47">
            <v>13.784436703334352</v>
          </cell>
        </row>
        <row r="48">
          <cell r="G48">
            <v>45</v>
          </cell>
          <cell r="H48">
            <v>1.3872061672138414</v>
          </cell>
          <cell r="I48">
            <v>1.5830039580236828</v>
          </cell>
          <cell r="J48">
            <v>1.9811874784318313</v>
          </cell>
          <cell r="K48">
            <v>0.96830109073932658</v>
          </cell>
          <cell r="L48">
            <v>2.2870363909926956</v>
          </cell>
          <cell r="M48">
            <v>1.5796122350196111</v>
          </cell>
          <cell r="N48">
            <v>1.6765852320737136</v>
          </cell>
          <cell r="O48">
            <v>1.5219155670569595</v>
          </cell>
          <cell r="P48">
            <v>1.3537748113831138</v>
          </cell>
          <cell r="Q48">
            <v>1.8678818132135544</v>
          </cell>
          <cell r="AB48">
            <v>2049</v>
          </cell>
          <cell r="AC48">
            <v>45</v>
          </cell>
          <cell r="AD48">
            <v>1.1975034089603884</v>
          </cell>
          <cell r="AE48">
            <v>13.95650987340915</v>
          </cell>
        </row>
        <row r="49">
          <cell r="G49">
            <v>46</v>
          </cell>
          <cell r="H49">
            <v>1.4021084269037811</v>
          </cell>
          <cell r="I49">
            <v>1.5998305295804987</v>
          </cell>
          <cell r="J49">
            <v>2.0030315617737116</v>
          </cell>
          <cell r="K49">
            <v>0.97904759606286518</v>
          </cell>
          <cell r="L49">
            <v>2.3112353880982566</v>
          </cell>
          <cell r="M49">
            <v>1.596576177858845</v>
          </cell>
          <cell r="N49">
            <v>1.6947104428494646</v>
          </cell>
          <cell r="O49">
            <v>1.5384212946132234</v>
          </cell>
          <cell r="P49">
            <v>1.3684002241466502</v>
          </cell>
          <cell r="Q49">
            <v>1.8872757122642143</v>
          </cell>
          <cell r="AB49">
            <v>2050</v>
          </cell>
          <cell r="AC49">
            <v>46</v>
          </cell>
          <cell r="AD49">
            <v>1.2233036715476564</v>
          </cell>
          <cell r="AE49">
            <v>14.125151272197067</v>
          </cell>
        </row>
        <row r="50">
          <cell r="G50">
            <v>47</v>
          </cell>
          <cell r="H50">
            <v>1.4170106865937209</v>
          </cell>
          <cell r="I50">
            <v>1.6166571011373145</v>
          </cell>
          <cell r="J50">
            <v>2.0248756451155918</v>
          </cell>
          <cell r="K50">
            <v>0.98979410138640378</v>
          </cell>
          <cell r="L50">
            <v>2.3354343852038175</v>
          </cell>
          <cell r="M50">
            <v>1.6135401206980788</v>
          </cell>
          <cell r="N50">
            <v>1.7128356536252156</v>
          </cell>
          <cell r="O50">
            <v>1.5549270221694873</v>
          </cell>
          <cell r="P50">
            <v>1.3830256369101865</v>
          </cell>
          <cell r="Q50">
            <v>1.9066696113148742</v>
          </cell>
          <cell r="AB50">
            <v>2051</v>
          </cell>
          <cell r="AC50">
            <v>47</v>
          </cell>
          <cell r="AD50">
            <v>1.248352470176072</v>
          </cell>
          <cell r="AE50">
            <v>14.290448210966655</v>
          </cell>
        </row>
        <row r="51">
          <cell r="G51">
            <v>48</v>
          </cell>
          <cell r="H51">
            <v>1.4319129462836606</v>
          </cell>
          <cell r="I51">
            <v>1.6334836726941304</v>
          </cell>
          <cell r="J51">
            <v>2.0467197284574721</v>
          </cell>
          <cell r="K51">
            <v>1.0005406067099425</v>
          </cell>
          <cell r="L51">
            <v>2.3596333823093785</v>
          </cell>
          <cell r="M51">
            <v>1.6305040635373127</v>
          </cell>
          <cell r="N51">
            <v>1.7309608644009666</v>
          </cell>
          <cell r="O51">
            <v>1.5714327497257512</v>
          </cell>
          <cell r="P51">
            <v>1.3976510496737229</v>
          </cell>
          <cell r="Q51">
            <v>1.9260635103655341</v>
          </cell>
          <cell r="AB51">
            <v>2052</v>
          </cell>
          <cell r="AC51">
            <v>48</v>
          </cell>
          <cell r="AD51">
            <v>1.2726716921454075</v>
          </cell>
          <cell r="AE51">
            <v>14.45248485400934</v>
          </cell>
        </row>
        <row r="52">
          <cell r="G52">
            <v>49</v>
          </cell>
          <cell r="H52">
            <v>1.4468152059736004</v>
          </cell>
          <cell r="I52">
            <v>1.6503102442509463</v>
          </cell>
          <cell r="J52">
            <v>2.0685638117993523</v>
          </cell>
          <cell r="K52">
            <v>1.0112871120334812</v>
          </cell>
          <cell r="L52">
            <v>2.3838323794149394</v>
          </cell>
          <cell r="M52">
            <v>1.6474680063765466</v>
          </cell>
          <cell r="N52">
            <v>1.7490860751767177</v>
          </cell>
          <cell r="O52">
            <v>1.5879384772820151</v>
          </cell>
          <cell r="P52">
            <v>1.4122764624372592</v>
          </cell>
          <cell r="Q52">
            <v>1.9454574094161941</v>
          </cell>
          <cell r="AB52">
            <v>2053</v>
          </cell>
          <cell r="AC52">
            <v>49</v>
          </cell>
          <cell r="AD52">
            <v>1.2962825872612673</v>
          </cell>
          <cell r="AE52">
            <v>14.611342356205071</v>
          </cell>
        </row>
        <row r="53">
          <cell r="G53">
            <v>50</v>
          </cell>
          <cell r="H53">
            <v>1.4617174656635397</v>
          </cell>
          <cell r="I53">
            <v>1.6671368158077626</v>
          </cell>
          <cell r="J53">
            <v>2.090407895141233</v>
          </cell>
          <cell r="K53">
            <v>1.0220336173570197</v>
          </cell>
          <cell r="L53">
            <v>2.4080313765204981</v>
          </cell>
          <cell r="M53">
            <v>1.6644319492157797</v>
          </cell>
          <cell r="N53">
            <v>1.7672112859524687</v>
          </cell>
          <cell r="O53">
            <v>1.6044442048382794</v>
          </cell>
          <cell r="P53">
            <v>1.4269018752007956</v>
          </cell>
          <cell r="Q53">
            <v>1.9648513084668549</v>
          </cell>
          <cell r="AB53">
            <v>2054</v>
          </cell>
          <cell r="AC53">
            <v>50</v>
          </cell>
          <cell r="AD53">
            <v>1.3192057864028788</v>
          </cell>
          <cell r="AE53">
            <v>14.767098994419424</v>
          </cell>
        </row>
        <row r="54">
          <cell r="G54">
            <v>51</v>
          </cell>
          <cell r="H54">
            <v>1.4728061458109447</v>
          </cell>
          <cell r="I54">
            <v>1.6796573640695842</v>
          </cell>
          <cell r="J54">
            <v>2.1066619445384736</v>
          </cell>
          <cell r="K54">
            <v>1.0300300267741571</v>
          </cell>
          <cell r="L54">
            <v>2.4260376930721765</v>
          </cell>
          <cell r="M54">
            <v>1.6770547123335282</v>
          </cell>
          <cell r="N54">
            <v>1.7806981428778381</v>
          </cell>
          <cell r="O54">
            <v>1.616726013096955</v>
          </cell>
          <cell r="P54">
            <v>1.4377845550413613</v>
          </cell>
          <cell r="Q54">
            <v>1.9792821890333725</v>
          </cell>
          <cell r="AB54">
            <v>2055</v>
          </cell>
          <cell r="AC54">
            <v>51</v>
          </cell>
          <cell r="AD54">
            <v>1.3414613195500742</v>
          </cell>
          <cell r="AE54">
            <v>14.91983029299875</v>
          </cell>
        </row>
        <row r="55">
          <cell r="G55">
            <v>52</v>
          </cell>
          <cell r="H55">
            <v>1.4838948259583498</v>
          </cell>
          <cell r="I55">
            <v>1.6921779123314058</v>
          </cell>
          <cell r="J55">
            <v>2.1229159939357141</v>
          </cell>
          <cell r="K55">
            <v>1.0380264361912945</v>
          </cell>
          <cell r="L55">
            <v>2.4440440096238549</v>
          </cell>
          <cell r="M55">
            <v>1.6896774754512767</v>
          </cell>
          <cell r="N55">
            <v>1.7941849998032076</v>
          </cell>
          <cell r="O55">
            <v>1.6290078213556307</v>
          </cell>
          <cell r="P55">
            <v>1.4486672348819269</v>
          </cell>
          <cell r="Q55">
            <v>1.9937130695998901</v>
          </cell>
          <cell r="AB55">
            <v>2056</v>
          </cell>
          <cell r="AC55">
            <v>52</v>
          </cell>
          <cell r="AD55">
            <v>1.3630686332852155</v>
          </cell>
          <cell r="AE55">
            <v>15.069609143619083</v>
          </cell>
        </row>
        <row r="56">
          <cell r="G56">
            <v>53</v>
          </cell>
          <cell r="H56">
            <v>1.4949835061057548</v>
          </cell>
          <cell r="I56">
            <v>1.7046984605932274</v>
          </cell>
          <cell r="J56">
            <v>2.1391700433329546</v>
          </cell>
          <cell r="K56">
            <v>1.046022845608432</v>
          </cell>
          <cell r="L56">
            <v>2.4620503261755333</v>
          </cell>
          <cell r="M56">
            <v>1.7023002385690251</v>
          </cell>
          <cell r="N56">
            <v>1.807671856728577</v>
          </cell>
          <cell r="O56">
            <v>1.6412896296143065</v>
          </cell>
          <cell r="P56">
            <v>1.4595499147224926</v>
          </cell>
          <cell r="Q56">
            <v>2.0081439501664078</v>
          </cell>
          <cell r="AB56">
            <v>2057</v>
          </cell>
          <cell r="AC56">
            <v>53</v>
          </cell>
          <cell r="AD56">
            <v>1.3840466077853526</v>
          </cell>
          <cell r="AE56">
            <v>15.216505919733851</v>
          </cell>
        </row>
        <row r="57">
          <cell r="G57">
            <v>54</v>
          </cell>
          <cell r="H57">
            <v>1.5060721862531599</v>
          </cell>
          <cell r="I57">
            <v>1.717219008855049</v>
          </cell>
          <cell r="J57">
            <v>2.1554240927301951</v>
          </cell>
          <cell r="K57">
            <v>1.0540192550255694</v>
          </cell>
          <cell r="L57">
            <v>2.4800566427272117</v>
          </cell>
          <cell r="M57">
            <v>1.7149230016867736</v>
          </cell>
          <cell r="N57">
            <v>1.8211587136539464</v>
          </cell>
          <cell r="O57">
            <v>1.6535714378729822</v>
          </cell>
          <cell r="P57">
            <v>1.4704325945630583</v>
          </cell>
          <cell r="Q57">
            <v>2.0225748307329252</v>
          </cell>
          <cell r="AB57">
            <v>2058</v>
          </cell>
          <cell r="AC57">
            <v>54</v>
          </cell>
          <cell r="AD57">
            <v>1.4044135733194665</v>
          </cell>
          <cell r="AE57">
            <v>15.360588585855382</v>
          </cell>
        </row>
        <row r="58">
          <cell r="G58">
            <v>55</v>
          </cell>
          <cell r="H58">
            <v>1.5171608664005649</v>
          </cell>
          <cell r="I58">
            <v>1.7297395571168706</v>
          </cell>
          <cell r="J58">
            <v>2.1716781421274356</v>
          </cell>
          <cell r="K58">
            <v>1.0620156644427068</v>
          </cell>
          <cell r="L58">
            <v>2.4980629592788901</v>
          </cell>
          <cell r="M58">
            <v>1.727545764804522</v>
          </cell>
          <cell r="N58">
            <v>1.8346455705793159</v>
          </cell>
          <cell r="O58">
            <v>1.665853246131658</v>
          </cell>
          <cell r="P58">
            <v>1.481315274403624</v>
          </cell>
          <cell r="Q58">
            <v>2.0370057112994426</v>
          </cell>
          <cell r="AB58">
            <v>2059</v>
          </cell>
          <cell r="AC58">
            <v>55</v>
          </cell>
          <cell r="AD58">
            <v>1.4241873262652081</v>
          </cell>
          <cell r="AE58">
            <v>15.501922801895329</v>
          </cell>
        </row>
        <row r="59">
          <cell r="G59">
            <v>56</v>
          </cell>
          <cell r="H59">
            <v>1.52824954654797</v>
          </cell>
          <cell r="I59">
            <v>1.7422601053786921</v>
          </cell>
          <cell r="J59">
            <v>2.1879321915246761</v>
          </cell>
          <cell r="K59">
            <v>1.0700120738598442</v>
          </cell>
          <cell r="L59">
            <v>2.5160692758305685</v>
          </cell>
          <cell r="M59">
            <v>1.7401685279222705</v>
          </cell>
          <cell r="N59">
            <v>1.8481324275046853</v>
          </cell>
          <cell r="O59">
            <v>1.6781350543903337</v>
          </cell>
          <cell r="P59">
            <v>1.4921979542441897</v>
          </cell>
          <cell r="Q59">
            <v>2.0514365918659601</v>
          </cell>
          <cell r="AB59">
            <v>2060</v>
          </cell>
          <cell r="AC59">
            <v>56</v>
          </cell>
          <cell r="AD59">
            <v>1.4433851446591319</v>
          </cell>
          <cell r="AE59">
            <v>15.640572022779946</v>
          </cell>
        </row>
        <row r="60">
          <cell r="G60">
            <v>57</v>
          </cell>
          <cell r="H60">
            <v>1.539338226695375</v>
          </cell>
          <cell r="I60">
            <v>1.7547806536405137</v>
          </cell>
          <cell r="J60">
            <v>2.2041862409219166</v>
          </cell>
          <cell r="K60">
            <v>1.0780084832769816</v>
          </cell>
          <cell r="L60">
            <v>2.5340755923822469</v>
          </cell>
          <cell r="M60">
            <v>1.752791291040019</v>
          </cell>
          <cell r="N60">
            <v>1.8616192844300548</v>
          </cell>
          <cell r="O60">
            <v>1.6904168626490095</v>
          </cell>
          <cell r="P60">
            <v>1.5030806340847553</v>
          </cell>
          <cell r="Q60">
            <v>2.0658674724324775</v>
          </cell>
          <cell r="AB60">
            <v>2061</v>
          </cell>
          <cell r="AC60">
            <v>57</v>
          </cell>
          <cell r="AD60">
            <v>1.4620238032940094</v>
          </cell>
          <cell r="AE60">
            <v>15.776597593546995</v>
          </cell>
        </row>
        <row r="61">
          <cell r="G61">
            <v>58</v>
          </cell>
          <cell r="H61">
            <v>1.5504269068427801</v>
          </cell>
          <cell r="I61">
            <v>1.7673012019023353</v>
          </cell>
          <cell r="J61">
            <v>2.2204402903191571</v>
          </cell>
          <cell r="K61">
            <v>1.086004892694119</v>
          </cell>
          <cell r="L61">
            <v>2.5520819089339253</v>
          </cell>
          <cell r="M61">
            <v>1.7654140541577674</v>
          </cell>
          <cell r="N61">
            <v>1.8751061413554242</v>
          </cell>
          <cell r="O61">
            <v>1.7026986709076852</v>
          </cell>
          <cell r="P61">
            <v>1.513963313925321</v>
          </cell>
          <cell r="Q61">
            <v>2.0802983529989949</v>
          </cell>
          <cell r="AB61">
            <v>2062</v>
          </cell>
          <cell r="AC61">
            <v>58</v>
          </cell>
          <cell r="AD61">
            <v>1.4801195883764147</v>
          </cell>
          <cell r="AE61">
            <v>15.910058840122545</v>
          </cell>
        </row>
        <row r="62">
          <cell r="G62">
            <v>59</v>
          </cell>
          <cell r="H62">
            <v>1.5615155869901851</v>
          </cell>
          <cell r="I62">
            <v>1.7798217501641569</v>
          </cell>
          <cell r="J62">
            <v>2.2366943397163976</v>
          </cell>
          <cell r="K62">
            <v>1.0940013021112565</v>
          </cell>
          <cell r="L62">
            <v>2.5700882254856037</v>
          </cell>
          <cell r="M62">
            <v>1.7780368172755159</v>
          </cell>
          <cell r="N62">
            <v>1.8885929982807936</v>
          </cell>
          <cell r="O62">
            <v>1.714980479166361</v>
          </cell>
          <cell r="P62">
            <v>1.5248459937658867</v>
          </cell>
          <cell r="Q62">
            <v>2.0947292335655123</v>
          </cell>
          <cell r="AB62">
            <v>2063</v>
          </cell>
          <cell r="AC62">
            <v>59</v>
          </cell>
          <cell r="AD62">
            <v>1.4976883117573907</v>
          </cell>
          <cell r="AE62">
            <v>16.041013155967622</v>
          </cell>
        </row>
        <row r="63">
          <cell r="G63">
            <v>60</v>
          </cell>
          <cell r="H63">
            <v>1.5726042671375908</v>
          </cell>
          <cell r="I63">
            <v>1.7923422984259791</v>
          </cell>
          <cell r="J63">
            <v>2.2529483891136377</v>
          </cell>
          <cell r="K63">
            <v>1.101997711528393</v>
          </cell>
          <cell r="L63">
            <v>2.5880945420372816</v>
          </cell>
          <cell r="M63">
            <v>1.7906595803932654</v>
          </cell>
          <cell r="N63">
            <v>1.9020798552061629</v>
          </cell>
          <cell r="O63">
            <v>1.7272622874250358</v>
          </cell>
          <cell r="P63">
            <v>1.5357286736064515</v>
          </cell>
          <cell r="Q63">
            <v>2.1091601141320306</v>
          </cell>
          <cell r="AB63">
            <v>2064</v>
          </cell>
          <cell r="AC63">
            <v>60</v>
          </cell>
          <cell r="AD63">
            <v>1.5147453247486296</v>
          </cell>
          <cell r="AE63">
            <v>16.169516084776674</v>
          </cell>
        </row>
        <row r="64">
          <cell r="G64">
            <v>61</v>
          </cell>
          <cell r="H64">
            <v>1.580855287566709</v>
          </cell>
          <cell r="I64">
            <v>1.8016587614695805</v>
          </cell>
          <cell r="J64">
            <v>2.2650429269098589</v>
          </cell>
          <cell r="K64">
            <v>1.1079477908328321</v>
          </cell>
          <cell r="L64">
            <v>2.6014929345410573</v>
          </cell>
          <cell r="M64">
            <v>1.800052103715017</v>
          </cell>
          <cell r="N64">
            <v>1.9121153458220792</v>
          </cell>
          <cell r="O64">
            <v>1.7364011118980802</v>
          </cell>
          <cell r="P64">
            <v>1.5438264119137151</v>
          </cell>
          <cell r="Q64">
            <v>2.1198980468024176</v>
          </cell>
          <cell r="AB64">
            <v>2065</v>
          </cell>
          <cell r="AC64">
            <v>61</v>
          </cell>
          <cell r="AD64">
            <v>1.53130553153624</v>
          </cell>
          <cell r="AE64">
            <v>16.295621399402215</v>
          </cell>
        </row>
        <row r="65">
          <cell r="G65">
            <v>62</v>
          </cell>
          <cell r="H65">
            <v>1.5891063079958272</v>
          </cell>
          <cell r="I65">
            <v>1.8109752245131818</v>
          </cell>
          <cell r="J65">
            <v>2.27713746470608</v>
          </cell>
          <cell r="K65">
            <v>1.1138978701372713</v>
          </cell>
          <cell r="L65">
            <v>2.6148913270448331</v>
          </cell>
          <cell r="M65">
            <v>1.8094446270367686</v>
          </cell>
          <cell r="N65">
            <v>1.9221508364379956</v>
          </cell>
          <cell r="O65">
            <v>1.7455399363711246</v>
          </cell>
          <cell r="P65">
            <v>1.5519241502209786</v>
          </cell>
          <cell r="Q65">
            <v>2.1306359794728045</v>
          </cell>
          <cell r="AB65">
            <v>2066</v>
          </cell>
          <cell r="AC65">
            <v>62</v>
          </cell>
          <cell r="AD65">
            <v>1.5473834022038231</v>
          </cell>
          <cell r="AE65">
            <v>16.41938117717271</v>
          </cell>
        </row>
        <row r="66">
          <cell r="G66">
            <v>63</v>
          </cell>
          <cell r="H66">
            <v>1.5973573284249454</v>
          </cell>
          <cell r="I66">
            <v>1.8202916875567832</v>
          </cell>
          <cell r="J66">
            <v>2.2892320025023012</v>
          </cell>
          <cell r="K66">
            <v>1.1198479494417104</v>
          </cell>
          <cell r="L66">
            <v>2.6282897195486088</v>
          </cell>
          <cell r="M66">
            <v>1.8188371503585201</v>
          </cell>
          <cell r="N66">
            <v>1.9321863270539119</v>
          </cell>
          <cell r="O66">
            <v>1.754678760844169</v>
          </cell>
          <cell r="P66">
            <v>1.5600218885282422</v>
          </cell>
          <cell r="Q66">
            <v>2.1413739121431914</v>
          </cell>
          <cell r="AB66">
            <v>2067</v>
          </cell>
          <cell r="AC66">
            <v>63</v>
          </cell>
          <cell r="AD66">
            <v>1.5629929853762339</v>
          </cell>
          <cell r="AE66">
            <v>16.540845871763661</v>
          </cell>
        </row>
        <row r="67">
          <cell r="G67">
            <v>64</v>
          </cell>
          <cell r="H67">
            <v>1.6056083488540636</v>
          </cell>
          <cell r="I67">
            <v>1.8296081506003845</v>
          </cell>
          <cell r="J67">
            <v>2.3013265402985223</v>
          </cell>
          <cell r="K67">
            <v>1.1257980287461495</v>
          </cell>
          <cell r="L67">
            <v>2.6416881120523845</v>
          </cell>
          <cell r="M67">
            <v>1.8282296736802717</v>
          </cell>
          <cell r="N67">
            <v>1.9422218176698283</v>
          </cell>
          <cell r="O67">
            <v>1.7638175853172133</v>
          </cell>
          <cell r="P67">
            <v>1.5681196268355058</v>
          </cell>
          <cell r="Q67">
            <v>2.1521118448135783</v>
          </cell>
          <cell r="AB67">
            <v>2068</v>
          </cell>
          <cell r="AC67">
            <v>64</v>
          </cell>
          <cell r="AD67">
            <v>1.5781479204950792</v>
          </cell>
          <cell r="AE67">
            <v>16.660064381775157</v>
          </cell>
        </row>
        <row r="68">
          <cell r="G68">
            <v>65</v>
          </cell>
          <cell r="H68">
            <v>1.6138593692831817</v>
          </cell>
          <cell r="I68">
            <v>1.8389246136439859</v>
          </cell>
          <cell r="J68">
            <v>2.3134210780947435</v>
          </cell>
          <cell r="K68">
            <v>1.1317481080505887</v>
          </cell>
          <cell r="L68">
            <v>2.6550865045561602</v>
          </cell>
          <cell r="M68">
            <v>1.8376221970020232</v>
          </cell>
          <cell r="N68">
            <v>1.9522573082857446</v>
          </cell>
          <cell r="O68">
            <v>1.7729564097902577</v>
          </cell>
          <cell r="P68">
            <v>1.5762173651427693</v>
          </cell>
          <cell r="Q68">
            <v>2.1628497774839652</v>
          </cell>
          <cell r="AB68">
            <v>2069</v>
          </cell>
          <cell r="AC68">
            <v>65</v>
          </cell>
          <cell r="AD68">
            <v>1.5928614497366766</v>
          </cell>
          <cell r="AE68">
            <v>16.777084116162651</v>
          </cell>
        </row>
        <row r="69">
          <cell r="G69">
            <v>66</v>
          </cell>
          <cell r="H69">
            <v>1.6221103897122999</v>
          </cell>
          <cell r="I69">
            <v>1.8482410766875872</v>
          </cell>
          <cell r="J69">
            <v>2.3255156158909647</v>
          </cell>
          <cell r="K69">
            <v>1.1376981873550278</v>
          </cell>
          <cell r="L69">
            <v>2.668484897059936</v>
          </cell>
          <cell r="M69">
            <v>1.8470147203237748</v>
          </cell>
          <cell r="N69">
            <v>1.962292798901661</v>
          </cell>
          <cell r="O69">
            <v>1.7820952342633021</v>
          </cell>
          <cell r="P69">
            <v>1.5843151034500329</v>
          </cell>
          <cell r="Q69">
            <v>2.1735877101543521</v>
          </cell>
          <cell r="AB69">
            <v>2070</v>
          </cell>
          <cell r="AC69">
            <v>66</v>
          </cell>
          <cell r="AD69">
            <v>1.6071464295828877</v>
          </cell>
          <cell r="AE69">
            <v>16.891951056661519</v>
          </cell>
        </row>
        <row r="70">
          <cell r="G70">
            <v>67</v>
          </cell>
          <cell r="H70">
            <v>1.6303614101414181</v>
          </cell>
          <cell r="I70">
            <v>1.8575575397311885</v>
          </cell>
          <cell r="J70">
            <v>2.3376101536871858</v>
          </cell>
          <cell r="K70">
            <v>1.1436482666594669</v>
          </cell>
          <cell r="L70">
            <v>2.6818832895637117</v>
          </cell>
          <cell r="M70">
            <v>1.8564072436455263</v>
          </cell>
          <cell r="N70">
            <v>1.9723282895175773</v>
          </cell>
          <cell r="O70">
            <v>1.7912340587363464</v>
          </cell>
          <cell r="P70">
            <v>1.5924128417572965</v>
          </cell>
          <cell r="Q70">
            <v>2.1843256428247391</v>
          </cell>
          <cell r="AB70">
            <v>2071</v>
          </cell>
          <cell r="AC70">
            <v>67</v>
          </cell>
          <cell r="AD70">
            <v>1.6210153420549374</v>
          </cell>
          <cell r="AE70">
            <v>17.004709817339968</v>
          </cell>
        </row>
        <row r="71">
          <cell r="G71">
            <v>68</v>
          </cell>
          <cell r="H71">
            <v>1.6386124305705363</v>
          </cell>
          <cell r="I71">
            <v>1.8668740027747899</v>
          </cell>
          <cell r="J71">
            <v>2.349704691483407</v>
          </cell>
          <cell r="K71">
            <v>1.1495983459639061</v>
          </cell>
          <cell r="L71">
            <v>2.6952816820674874</v>
          </cell>
          <cell r="M71">
            <v>1.8657997669672779</v>
          </cell>
          <cell r="N71">
            <v>1.9823637801334937</v>
          </cell>
          <cell r="O71">
            <v>1.8003728832093908</v>
          </cell>
          <cell r="P71">
            <v>1.60051058006456</v>
          </cell>
          <cell r="Q71">
            <v>2.195063575495126</v>
          </cell>
          <cell r="AB71">
            <v>2072</v>
          </cell>
          <cell r="AC71">
            <v>68</v>
          </cell>
          <cell r="AD71">
            <v>1.6344803056200341</v>
          </cell>
          <cell r="AE71">
            <v>17.115403701409186</v>
          </cell>
        </row>
        <row r="72">
          <cell r="G72">
            <v>69</v>
          </cell>
          <cell r="H72">
            <v>1.6468634509996545</v>
          </cell>
          <cell r="I72">
            <v>1.8761904658183912</v>
          </cell>
          <cell r="J72">
            <v>2.3617992292796282</v>
          </cell>
          <cell r="K72">
            <v>1.1555484252683452</v>
          </cell>
          <cell r="L72">
            <v>2.7086800745712631</v>
          </cell>
          <cell r="M72">
            <v>1.8751922902890295</v>
          </cell>
          <cell r="N72">
            <v>1.99239927074941</v>
          </cell>
          <cell r="O72">
            <v>1.8095117076824352</v>
          </cell>
          <cell r="P72">
            <v>1.6086083183718236</v>
          </cell>
          <cell r="Q72">
            <v>2.2058015081655129</v>
          </cell>
          <cell r="AB72">
            <v>2073</v>
          </cell>
          <cell r="AC72">
            <v>69</v>
          </cell>
          <cell r="AD72">
            <v>1.6475530857803222</v>
          </cell>
          <cell r="AE72">
            <v>17.22407475541403</v>
          </cell>
        </row>
        <row r="73">
          <cell r="G73">
            <v>70</v>
          </cell>
          <cell r="H73">
            <v>1.6551144714287733</v>
          </cell>
          <cell r="I73">
            <v>1.8855069288619923</v>
          </cell>
          <cell r="J73">
            <v>2.3738937670758498</v>
          </cell>
          <cell r="K73">
            <v>1.1614985045727844</v>
          </cell>
          <cell r="L73">
            <v>2.7220784670750406</v>
          </cell>
          <cell r="M73">
            <v>1.8845848136107806</v>
          </cell>
          <cell r="N73">
            <v>2.0024347613653259</v>
          </cell>
          <cell r="O73">
            <v>1.8186505321554804</v>
          </cell>
          <cell r="P73">
            <v>1.6167060566790872</v>
          </cell>
          <cell r="Q73">
            <v>2.2165394408359003</v>
          </cell>
          <cell r="AB73">
            <v>2074</v>
          </cell>
          <cell r="AC73">
            <v>70</v>
          </cell>
          <cell r="AD73">
            <v>1.6602451053534175</v>
          </cell>
          <cell r="AE73">
            <v>17.330763820922417</v>
          </cell>
        </row>
        <row r="74">
          <cell r="G74">
            <v>71</v>
          </cell>
          <cell r="H74">
            <v>1.6633654918578922</v>
          </cell>
          <cell r="I74">
            <v>1.8948233919055935</v>
          </cell>
          <cell r="J74">
            <v>2.3859883048720714</v>
          </cell>
          <cell r="K74">
            <v>1.1674485838772235</v>
          </cell>
          <cell r="L74">
            <v>2.7354768595788181</v>
          </cell>
          <cell r="M74">
            <v>1.8939773369325317</v>
          </cell>
          <cell r="N74">
            <v>2.0124702519812416</v>
          </cell>
          <cell r="O74">
            <v>1.8277893566285257</v>
          </cell>
          <cell r="P74">
            <v>1.6248037949863507</v>
          </cell>
          <cell r="Q74">
            <v>2.2272773735062876</v>
          </cell>
          <cell r="AB74">
            <v>2075</v>
          </cell>
          <cell r="AC74">
            <v>71</v>
          </cell>
          <cell r="AD74">
            <v>1.6725674544535098</v>
          </cell>
          <cell r="AE74">
            <v>17.435510583826421</v>
          </cell>
        </row>
        <row r="75">
          <cell r="AB75">
            <v>2076</v>
          </cell>
          <cell r="AC75">
            <v>72</v>
          </cell>
          <cell r="AD75">
            <v>1.6845309001817552</v>
          </cell>
          <cell r="AE75">
            <v>17.538353621363228</v>
          </cell>
        </row>
        <row r="76">
          <cell r="AB76">
            <v>2077</v>
          </cell>
          <cell r="AC76">
            <v>73</v>
          </cell>
          <cell r="AD76">
            <v>1.6961458960344202</v>
          </cell>
          <cell r="AE76">
            <v>17.63933044695958</v>
          </cell>
        </row>
        <row r="77">
          <cell r="AB77">
            <v>2078</v>
          </cell>
          <cell r="AC77">
            <v>74</v>
          </cell>
          <cell r="AD77">
            <v>1.707422591037008</v>
          </cell>
          <cell r="AE77">
            <v>17.738477552998674</v>
          </cell>
        </row>
        <row r="78">
          <cell r="AB78">
            <v>2079</v>
          </cell>
          <cell r="AC78">
            <v>75</v>
          </cell>
          <cell r="AD78">
            <v>1.7183708386123357</v>
          </cell>
          <cell r="AE78">
            <v>17.835830451604359</v>
          </cell>
        </row>
        <row r="79">
          <cell r="AB79">
            <v>2080</v>
          </cell>
          <cell r="AC79">
            <v>76</v>
          </cell>
          <cell r="AD79">
            <v>1.7290002051903237</v>
          </cell>
          <cell r="AE79">
            <v>17.890024195993831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FF BY MEASURE"/>
      <sheetName val="TOTAL FIRST YEAR"/>
      <sheetName val="Rates&amp;NEB"/>
      <sheetName val="Insulation Calcs"/>
      <sheetName val="Equations"/>
    </sheetNames>
    <sheetDataSet>
      <sheetData sheetId="0" refreshError="1"/>
      <sheetData sheetId="1" refreshError="1"/>
      <sheetData sheetId="2" refreshError="1">
        <row r="5">
          <cell r="B5">
            <v>7.6310000000000003E-2</v>
          </cell>
        </row>
        <row r="7">
          <cell r="B7">
            <v>3.32E-2</v>
          </cell>
        </row>
        <row r="9">
          <cell r="B9">
            <v>4.1700000000000001E-2</v>
          </cell>
        </row>
        <row r="13">
          <cell r="B13">
            <v>0.1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>
        <row r="5">
          <cell r="A5" t="str">
            <v>CEILING</v>
          </cell>
          <cell r="B5" t="str">
            <v>CEILING INSULATION ZONE 1</v>
          </cell>
          <cell r="C5">
            <v>101.631</v>
          </cell>
          <cell r="D5">
            <v>1007.7348066298341</v>
          </cell>
          <cell r="E5">
            <v>45</v>
          </cell>
          <cell r="F5" t="str">
            <v>Ceiling Insulation</v>
          </cell>
          <cell r="G5" t="str">
            <v>Equal to or Greater than R-38</v>
          </cell>
        </row>
        <row r="6">
          <cell r="A6" t="str">
            <v>CEILING</v>
          </cell>
          <cell r="B6" t="str">
            <v>CEILING INSULATION ZONE 2</v>
          </cell>
          <cell r="C6">
            <v>98.064999999999998</v>
          </cell>
          <cell r="D6">
            <v>1005.7142857142857</v>
          </cell>
          <cell r="E6">
            <v>45</v>
          </cell>
          <cell r="F6" t="str">
            <v>Ceiling Insulation</v>
          </cell>
          <cell r="G6" t="str">
            <v>Equal to or Greater than R-39</v>
          </cell>
        </row>
        <row r="7">
          <cell r="A7" t="str">
            <v>CEILING</v>
          </cell>
          <cell r="B7" t="str">
            <v>CEILING INSULATION ZONE 3</v>
          </cell>
          <cell r="C7">
            <v>115.89500000000001</v>
          </cell>
          <cell r="D7">
            <v>1009.7087378640778</v>
          </cell>
          <cell r="E7">
            <v>45</v>
          </cell>
          <cell r="F7" t="str">
            <v>Ceiling Insulation</v>
          </cell>
          <cell r="G7" t="str">
            <v>Equal to or Greater than R-40</v>
          </cell>
        </row>
        <row r="8">
          <cell r="A8" t="str">
            <v>FLOOR</v>
          </cell>
          <cell r="B8" t="str">
            <v>FLOOR INSULATION ZONE 1</v>
          </cell>
          <cell r="C8">
            <v>101.631</v>
          </cell>
          <cell r="D8">
            <v>1007.7348066298341</v>
          </cell>
          <cell r="E8">
            <v>45</v>
          </cell>
          <cell r="F8" t="str">
            <v>Floor Insulation</v>
          </cell>
          <cell r="G8" t="str">
            <v>Equal to or Greater than R-30 or to fill cavity</v>
          </cell>
        </row>
        <row r="9">
          <cell r="A9" t="str">
            <v>FLOOR</v>
          </cell>
          <cell r="B9" t="str">
            <v>FLOOR INSULATION ZONE 2</v>
          </cell>
          <cell r="C9">
            <v>98.064999999999998</v>
          </cell>
          <cell r="D9">
            <v>1005.7142857142857</v>
          </cell>
          <cell r="E9">
            <v>45</v>
          </cell>
          <cell r="F9" t="str">
            <v>Floor Insulation</v>
          </cell>
          <cell r="G9" t="str">
            <v>Equal to or Greater than R-30 or to fill cavity</v>
          </cell>
        </row>
        <row r="10">
          <cell r="A10" t="str">
            <v>FLOOR</v>
          </cell>
          <cell r="B10" t="str">
            <v>FLOOR INSULATION ZONE 3</v>
          </cell>
          <cell r="C10">
            <v>115.89500000000001</v>
          </cell>
          <cell r="D10">
            <v>1009.7087378640778</v>
          </cell>
          <cell r="E10">
            <v>45</v>
          </cell>
          <cell r="F10" t="str">
            <v>Floor Insulation</v>
          </cell>
          <cell r="G10" t="str">
            <v>Equal to or Greater than R-30 or to fill cavity</v>
          </cell>
        </row>
        <row r="11">
          <cell r="A11" t="str">
            <v>N-A102</v>
          </cell>
          <cell r="B11" t="str">
            <v>MEF 2.0 Washer</v>
          </cell>
          <cell r="C11">
            <v>2.9701291199999935</v>
          </cell>
          <cell r="D11">
            <v>33.200000000000003</v>
          </cell>
          <cell r="E11">
            <v>12</v>
          </cell>
        </row>
        <row r="12">
          <cell r="A12" t="str">
            <v>N-A103</v>
          </cell>
          <cell r="B12" t="str">
            <v>Estar Dishwasher</v>
          </cell>
          <cell r="C12">
            <v>2.5504325100000003</v>
          </cell>
          <cell r="D12">
            <v>38</v>
          </cell>
          <cell r="E12">
            <v>12</v>
          </cell>
        </row>
        <row r="13">
          <cell r="A13" t="str">
            <v>N-A105</v>
          </cell>
          <cell r="B13" t="str">
            <v>Hi-eff Washer</v>
          </cell>
          <cell r="C13">
            <v>3.510152596363632</v>
          </cell>
          <cell r="D13">
            <v>49.8</v>
          </cell>
          <cell r="E13">
            <v>12</v>
          </cell>
        </row>
        <row r="14">
          <cell r="A14" t="str">
            <v>N-DG101</v>
          </cell>
          <cell r="B14" t="str">
            <v>Tank upgrade (50 gal gas)</v>
          </cell>
          <cell r="C14">
            <v>13.125695216907701</v>
          </cell>
          <cell r="D14">
            <v>350</v>
          </cell>
          <cell r="E14">
            <v>15</v>
          </cell>
        </row>
        <row r="15">
          <cell r="A15" t="str">
            <v>N-DG102</v>
          </cell>
          <cell r="B15" t="str">
            <v>Tank upgrade (50 gal gas) condensing</v>
          </cell>
          <cell r="C15">
            <v>66.238973536487578</v>
          </cell>
          <cell r="D15">
            <v>2500</v>
          </cell>
          <cell r="E15">
            <v>15</v>
          </cell>
        </row>
        <row r="16">
          <cell r="A16" t="str">
            <v>N-DG103</v>
          </cell>
          <cell r="B16" t="str">
            <v>Solar hot water heater (50 gal) - Solar Zone 2.  With gas backup.</v>
          </cell>
          <cell r="C16">
            <v>112.67904509283822</v>
          </cell>
          <cell r="D16">
            <v>3850</v>
          </cell>
          <cell r="E16">
            <v>20</v>
          </cell>
        </row>
        <row r="17">
          <cell r="A17" t="str">
            <v>N-DG104</v>
          </cell>
          <cell r="B17" t="str">
            <v>Tankless Gas heater</v>
          </cell>
          <cell r="C17">
            <v>42.714932126696823</v>
          </cell>
          <cell r="D17">
            <v>800</v>
          </cell>
          <cell r="E17">
            <v>20</v>
          </cell>
          <cell r="F17" t="str">
            <v>.81 Tankless W.H.  (new const. upgrade)</v>
          </cell>
          <cell r="G17" t="str">
            <v>0.81 EF Above Energy Star Home</v>
          </cell>
        </row>
        <row r="18">
          <cell r="A18" t="str">
            <v>N-GD106</v>
          </cell>
          <cell r="B18" t="str">
            <v>Tank upgrade (50 gal gas) Hi Eff Alternative</v>
          </cell>
          <cell r="C18">
            <v>76.847290640394107</v>
          </cell>
          <cell r="D18">
            <v>585</v>
          </cell>
          <cell r="E18">
            <v>15</v>
          </cell>
        </row>
        <row r="19">
          <cell r="A19" t="str">
            <v>N-GD107</v>
          </cell>
          <cell r="B19" t="str">
            <v>Solar hot water heater (50 gal) - With gas backup.</v>
          </cell>
          <cell r="C19">
            <v>116.78425531914893</v>
          </cell>
          <cell r="D19">
            <v>6430.2853608247415</v>
          </cell>
          <cell r="E19">
            <v>20</v>
          </cell>
        </row>
        <row r="20">
          <cell r="A20" t="str">
            <v>N-GD108</v>
          </cell>
          <cell r="B20" t="str">
            <v>Tankless Gas heater</v>
          </cell>
          <cell r="C20">
            <v>94.117647058823479</v>
          </cell>
          <cell r="D20">
            <v>1050</v>
          </cell>
          <cell r="E20">
            <v>20</v>
          </cell>
        </row>
        <row r="21">
          <cell r="A21" t="str">
            <v>N-GD109</v>
          </cell>
          <cell r="B21" t="str">
            <v>Upgrade to Navien Tankless Gas heater</v>
          </cell>
          <cell r="C21">
            <v>13.747521480502304</v>
          </cell>
          <cell r="D21">
            <v>150</v>
          </cell>
          <cell r="E21">
            <v>20</v>
          </cell>
        </row>
        <row r="22">
          <cell r="A22" t="str">
            <v>N-GH129</v>
          </cell>
          <cell r="B22" t="str">
            <v>E* Insulation, Ducts, DHW, Lights (Gas Z 3)</v>
          </cell>
          <cell r="C22">
            <v>172.78918815544239</v>
          </cell>
          <cell r="D22">
            <v>1398</v>
          </cell>
          <cell r="E22">
            <v>45</v>
          </cell>
        </row>
        <row r="23">
          <cell r="A23" t="str">
            <v>N-GH130</v>
          </cell>
          <cell r="B23" t="str">
            <v>Heating upgrade (AFUE 90) (Z 3)</v>
          </cell>
          <cell r="C23">
            <v>84.103236843220017</v>
          </cell>
          <cell r="D23">
            <v>150</v>
          </cell>
          <cell r="E23">
            <v>15</v>
          </cell>
        </row>
        <row r="24">
          <cell r="A24" t="str">
            <v>N-GH131</v>
          </cell>
          <cell r="B24" t="str">
            <v>Window U=.3 (Gas Z 3)</v>
          </cell>
          <cell r="C24">
            <v>19.434999999999999</v>
          </cell>
          <cell r="D24">
            <v>183</v>
          </cell>
          <cell r="E24">
            <v>45</v>
          </cell>
        </row>
        <row r="25">
          <cell r="A25" t="str">
            <v>N-GH132</v>
          </cell>
          <cell r="B25" t="str">
            <v>HRV, E* (Gas Z 3)</v>
          </cell>
          <cell r="C25">
            <v>125.58</v>
          </cell>
          <cell r="D25">
            <v>300</v>
          </cell>
          <cell r="E25">
            <v>15</v>
          </cell>
        </row>
        <row r="26">
          <cell r="A26" t="str">
            <v>N-GH133</v>
          </cell>
          <cell r="B26" t="str">
            <v>Ducts Indoor, DHW, Lights (Gas Z 3)</v>
          </cell>
          <cell r="C26">
            <v>163.10284751802882</v>
          </cell>
          <cell r="D26">
            <v>775</v>
          </cell>
          <cell r="E26">
            <v>45</v>
          </cell>
        </row>
        <row r="27">
          <cell r="A27" t="str">
            <v>N-GH134</v>
          </cell>
          <cell r="B27" t="str">
            <v>E* Insulation, Ducts, DHW, Lights (Gas Z 4)</v>
          </cell>
          <cell r="C27">
            <v>123.52440659565997</v>
          </cell>
          <cell r="D27">
            <v>1398</v>
          </cell>
          <cell r="E27">
            <v>45</v>
          </cell>
        </row>
        <row r="28">
          <cell r="A28" t="str">
            <v>N-GH135</v>
          </cell>
          <cell r="B28" t="str">
            <v>Heating upgrade (AFUE 90) (Z 4)</v>
          </cell>
          <cell r="C28">
            <v>63.400901620273551</v>
          </cell>
          <cell r="D28">
            <v>150</v>
          </cell>
          <cell r="E28">
            <v>15</v>
          </cell>
        </row>
        <row r="29">
          <cell r="A29" t="str">
            <v>N-GH136</v>
          </cell>
          <cell r="B29" t="str">
            <v>Window U=.3 (Gas Z 4)</v>
          </cell>
          <cell r="C29">
            <v>14.651</v>
          </cell>
          <cell r="D29">
            <v>183</v>
          </cell>
          <cell r="E29">
            <v>45</v>
          </cell>
        </row>
        <row r="30">
          <cell r="A30" t="str">
            <v>N-GH137</v>
          </cell>
          <cell r="B30" t="str">
            <v>HRV, E* (Gas Z 4)</v>
          </cell>
          <cell r="C30">
            <v>94.668000000000006</v>
          </cell>
          <cell r="D30">
            <v>300</v>
          </cell>
          <cell r="E30">
            <v>15</v>
          </cell>
        </row>
        <row r="31">
          <cell r="A31" t="str">
            <v>N-GH138</v>
          </cell>
          <cell r="B31" t="str">
            <v>Ducts Indoor, DHW, Lights (Gas Z 4)</v>
          </cell>
          <cell r="C31">
            <v>122.95445428282173</v>
          </cell>
          <cell r="D31">
            <v>775</v>
          </cell>
          <cell r="E31">
            <v>45</v>
          </cell>
        </row>
        <row r="32">
          <cell r="A32" t="str">
            <v>N-GH139</v>
          </cell>
          <cell r="B32" t="str">
            <v>Tank upgrade (50 gal gas)</v>
          </cell>
          <cell r="C32">
            <v>28.921023359288096</v>
          </cell>
          <cell r="D32">
            <v>200</v>
          </cell>
          <cell r="E32">
            <v>15</v>
          </cell>
        </row>
        <row r="33">
          <cell r="A33" t="str">
            <v>N-H101</v>
          </cell>
          <cell r="B33" t="str">
            <v>E* Insulation, Ducts, Zone 1</v>
          </cell>
          <cell r="C33">
            <v>94.5</v>
          </cell>
          <cell r="D33">
            <v>1000</v>
          </cell>
          <cell r="E33">
            <v>30</v>
          </cell>
          <cell r="F33" t="str">
            <v>Energy * Qualified Gas</v>
          </cell>
          <cell r="G33" t="str">
            <v>90% AFUE Rating</v>
          </cell>
        </row>
        <row r="34">
          <cell r="A34" t="str">
            <v>N-H102</v>
          </cell>
          <cell r="B34" t="str">
            <v>E* Insulation, Ducts, Zone 2</v>
          </cell>
          <cell r="C34">
            <v>101.7</v>
          </cell>
          <cell r="D34">
            <v>1000</v>
          </cell>
          <cell r="E34">
            <v>30</v>
          </cell>
          <cell r="F34" t="str">
            <v>Energy * Qualified Gas</v>
          </cell>
          <cell r="G34" t="str">
            <v>90% AFUE Rating</v>
          </cell>
        </row>
        <row r="35">
          <cell r="A35" t="str">
            <v>N-H103</v>
          </cell>
          <cell r="B35" t="str">
            <v>E* Insulation, Ducts, Zone 3</v>
          </cell>
          <cell r="C35">
            <v>126</v>
          </cell>
          <cell r="D35">
            <v>1000</v>
          </cell>
          <cell r="E35">
            <v>30</v>
          </cell>
          <cell r="F35" t="str">
            <v>Energy * Qualified Gas</v>
          </cell>
          <cell r="G35" t="str">
            <v>90% AFUE Rating</v>
          </cell>
        </row>
        <row r="36">
          <cell r="A36" t="str">
            <v>N-H104</v>
          </cell>
          <cell r="B36" t="str">
            <v>Heating upgrade (AFUE 90), Zone 1</v>
          </cell>
          <cell r="C36">
            <v>61.2</v>
          </cell>
          <cell r="D36">
            <v>500</v>
          </cell>
          <cell r="E36">
            <v>18</v>
          </cell>
          <cell r="F36" t="str">
            <v>90% AFUE New Gas Furnace (New)</v>
          </cell>
          <cell r="G36" t="str">
            <v>90% AFUE Rating</v>
          </cell>
        </row>
        <row r="37">
          <cell r="A37" t="str">
            <v>N-H105</v>
          </cell>
          <cell r="B37" t="str">
            <v>Heating upgrade (AFUE 90), Zone 2</v>
          </cell>
          <cell r="C37">
            <v>81</v>
          </cell>
          <cell r="D37">
            <v>500</v>
          </cell>
          <cell r="E37">
            <v>18</v>
          </cell>
          <cell r="F37" t="str">
            <v>90% AFUE New Gas Furnace (New)</v>
          </cell>
          <cell r="G37" t="str">
            <v>90% AFUE Rating</v>
          </cell>
        </row>
        <row r="38">
          <cell r="A38" t="str">
            <v>N-H106</v>
          </cell>
          <cell r="B38" t="str">
            <v>Heating upgrade (AFUE 90), Zone 3</v>
          </cell>
          <cell r="C38">
            <v>64.8</v>
          </cell>
          <cell r="D38">
            <v>500</v>
          </cell>
          <cell r="E38">
            <v>18</v>
          </cell>
          <cell r="F38" t="str">
            <v>90% AFUE New Gas Furnace (New)</v>
          </cell>
          <cell r="G38" t="str">
            <v>90% AFUE Rating</v>
          </cell>
        </row>
        <row r="39">
          <cell r="A39" t="str">
            <v>N-H107</v>
          </cell>
          <cell r="B39" t="str">
            <v>Window U=.3, Zone 1</v>
          </cell>
          <cell r="C39">
            <v>28.8</v>
          </cell>
          <cell r="D39">
            <v>720</v>
          </cell>
          <cell r="E39">
            <v>45</v>
          </cell>
        </row>
        <row r="40">
          <cell r="A40" t="str">
            <v>N-H108</v>
          </cell>
          <cell r="B40" t="str">
            <v>Window U=.3, Zone 2</v>
          </cell>
          <cell r="C40">
            <v>31.5</v>
          </cell>
          <cell r="D40">
            <v>720</v>
          </cell>
          <cell r="E40">
            <v>45</v>
          </cell>
        </row>
        <row r="41">
          <cell r="A41" t="str">
            <v>N-H109</v>
          </cell>
          <cell r="B41" t="str">
            <v>Window U=.3, Zone 3</v>
          </cell>
          <cell r="C41">
            <v>36</v>
          </cell>
          <cell r="D41">
            <v>720</v>
          </cell>
          <cell r="E41">
            <v>45</v>
          </cell>
        </row>
        <row r="42">
          <cell r="A42" t="str">
            <v>N-H110</v>
          </cell>
          <cell r="B42" t="str">
            <v>HRV, E*, Zone 1</v>
          </cell>
          <cell r="C42">
            <v>76.5</v>
          </cell>
          <cell r="D42">
            <v>1500</v>
          </cell>
          <cell r="E42">
            <v>45</v>
          </cell>
        </row>
        <row r="43">
          <cell r="A43" t="str">
            <v>N-H111</v>
          </cell>
          <cell r="B43" t="str">
            <v>HRV, E*, Zone 2</v>
          </cell>
          <cell r="C43">
            <v>81</v>
          </cell>
          <cell r="D43">
            <v>1500</v>
          </cell>
          <cell r="E43">
            <v>45</v>
          </cell>
        </row>
        <row r="44">
          <cell r="A44" t="str">
            <v>N-H112</v>
          </cell>
          <cell r="B44" t="str">
            <v>HRV, E*, Zone 3</v>
          </cell>
          <cell r="C44">
            <v>93.6</v>
          </cell>
          <cell r="D44">
            <v>1500</v>
          </cell>
          <cell r="E44">
            <v>45</v>
          </cell>
        </row>
        <row r="45">
          <cell r="A45" t="str">
            <v>N-H113</v>
          </cell>
          <cell r="B45" t="str">
            <v>E* Plus (FTC) Insulation, Zone 1</v>
          </cell>
          <cell r="C45">
            <v>220.5</v>
          </cell>
          <cell r="D45">
            <v>3700</v>
          </cell>
          <cell r="E45">
            <v>30</v>
          </cell>
          <cell r="F45" t="str">
            <v>Energy * Plus</v>
          </cell>
          <cell r="G45" t="str">
            <v>Federal Tax Credit Eligible</v>
          </cell>
        </row>
        <row r="46">
          <cell r="A46" t="str">
            <v>N-H114</v>
          </cell>
          <cell r="B46" t="str">
            <v>E* Plus (FTC) Insulation, Zone 2</v>
          </cell>
          <cell r="C46">
            <v>234.9</v>
          </cell>
          <cell r="D46">
            <v>3700</v>
          </cell>
          <cell r="E46">
            <v>30</v>
          </cell>
          <cell r="F46" t="str">
            <v>Energy * Plus</v>
          </cell>
          <cell r="G46" t="str">
            <v>Federal Tax Credit Eligible</v>
          </cell>
        </row>
        <row r="47">
          <cell r="A47" t="str">
            <v>N-H115</v>
          </cell>
          <cell r="B47" t="str">
            <v>E* Plus (FTC) Insulation, Zone 3</v>
          </cell>
          <cell r="C47">
            <v>296.10000000000002</v>
          </cell>
          <cell r="D47">
            <v>3700</v>
          </cell>
          <cell r="E47">
            <v>30</v>
          </cell>
          <cell r="F47" t="str">
            <v>Energy * Plus</v>
          </cell>
          <cell r="G47" t="str">
            <v>Federal Tax Credit Eligible</v>
          </cell>
        </row>
        <row r="48">
          <cell r="A48" t="str">
            <v>R-A102</v>
          </cell>
          <cell r="B48" t="str">
            <v>MEF 2.0 Washer</v>
          </cell>
          <cell r="C48">
            <v>5.6</v>
          </cell>
          <cell r="D48">
            <v>113</v>
          </cell>
          <cell r="E48">
            <v>12</v>
          </cell>
          <cell r="F48" t="str">
            <v>2.0 MEF E* Clothes Washer</v>
          </cell>
          <cell r="G48" t="str">
            <v>2.0 MEF</v>
          </cell>
        </row>
        <row r="49">
          <cell r="A49" t="str">
            <v>R-A103</v>
          </cell>
          <cell r="B49" t="str">
            <v>Estar Dishwasher</v>
          </cell>
          <cell r="C49">
            <v>2.1501899999999998</v>
          </cell>
          <cell r="D49">
            <v>38</v>
          </cell>
          <cell r="E49">
            <v>12</v>
          </cell>
        </row>
        <row r="50">
          <cell r="A50" t="str">
            <v>R-DG101</v>
          </cell>
          <cell r="B50" t="str">
            <v>Tank upgrade (50 gal gas)</v>
          </cell>
          <cell r="C50">
            <v>13.125695216907701</v>
          </cell>
          <cell r="D50">
            <v>350</v>
          </cell>
          <cell r="E50">
            <v>15</v>
          </cell>
          <cell r="F50" t="str">
            <v>.62 Water Heater</v>
          </cell>
          <cell r="G50" t="str">
            <v>0.62 Energy Factor or Greater</v>
          </cell>
        </row>
        <row r="51">
          <cell r="A51" t="str">
            <v>R-DG102</v>
          </cell>
          <cell r="B51" t="str">
            <v>Tank upgrade (50 gal gas) condensing</v>
          </cell>
          <cell r="C51">
            <v>66.238973536487578</v>
          </cell>
          <cell r="D51">
            <v>2500</v>
          </cell>
          <cell r="E51">
            <v>15</v>
          </cell>
        </row>
        <row r="52">
          <cell r="A52" t="str">
            <v>R-DG103</v>
          </cell>
          <cell r="B52" t="str">
            <v>Solar hot water heater (50 gal) - Solar Zone 2.  With gas backup.</v>
          </cell>
          <cell r="C52">
            <v>112.67904509283822</v>
          </cell>
          <cell r="D52">
            <v>3850</v>
          </cell>
          <cell r="E52">
            <v>20</v>
          </cell>
        </row>
        <row r="53">
          <cell r="A53" t="str">
            <v>R-DG104</v>
          </cell>
          <cell r="B53" t="str">
            <v>Tankless Gas heater</v>
          </cell>
          <cell r="C53">
            <v>42.714932126696823</v>
          </cell>
          <cell r="D53">
            <v>800</v>
          </cell>
          <cell r="E53">
            <v>20</v>
          </cell>
          <cell r="F53" t="str">
            <v>.81 Tankless Water Heater (replace)</v>
          </cell>
          <cell r="G53" t="str">
            <v>0.81 Energy Factor</v>
          </cell>
        </row>
        <row r="54">
          <cell r="A54" t="str">
            <v>R-GD110</v>
          </cell>
          <cell r="B54" t="str">
            <v>Tankless Gas heater replace</v>
          </cell>
          <cell r="C54">
            <v>94.117647058823479</v>
          </cell>
          <cell r="D54">
            <v>800</v>
          </cell>
          <cell r="E54">
            <v>20</v>
          </cell>
        </row>
        <row r="55">
          <cell r="A55" t="str">
            <v>R-GD111</v>
          </cell>
          <cell r="B55" t="str">
            <v>Tank upgrade (50 gal gas) Hi Eff Alternative</v>
          </cell>
          <cell r="C55">
            <v>76.847290640394107</v>
          </cell>
          <cell r="D55">
            <v>585</v>
          </cell>
          <cell r="E55">
            <v>15</v>
          </cell>
        </row>
        <row r="56">
          <cell r="A56" t="str">
            <v>R-GD112</v>
          </cell>
          <cell r="B56" t="str">
            <v>Upgrade to Navien Tankless Gas heater</v>
          </cell>
          <cell r="C56">
            <v>13.747521480502304</v>
          </cell>
          <cell r="D56">
            <v>150</v>
          </cell>
          <cell r="E56">
            <v>20</v>
          </cell>
        </row>
        <row r="57">
          <cell r="A57" t="str">
            <v>R-GD113</v>
          </cell>
          <cell r="B57" t="str">
            <v>Solar hot water heater (50 gal) - With gas backup.</v>
          </cell>
          <cell r="C57">
            <v>116.78425531914893</v>
          </cell>
          <cell r="D57">
            <v>6430.2853608247415</v>
          </cell>
          <cell r="E57">
            <v>20</v>
          </cell>
        </row>
        <row r="58">
          <cell r="A58" t="str">
            <v>R-GH114</v>
          </cell>
          <cell r="B58" t="str">
            <v>Duct Sealing,  Z 3</v>
          </cell>
          <cell r="C58">
            <v>160.60137954288945</v>
          </cell>
          <cell r="D58">
            <v>619</v>
          </cell>
          <cell r="E58">
            <v>20</v>
          </cell>
        </row>
        <row r="59">
          <cell r="A59" t="str">
            <v>R-GH115</v>
          </cell>
          <cell r="B59" t="str">
            <v>AFUE 90 to hydrocoil combo, Z 3</v>
          </cell>
          <cell r="C59">
            <v>171.60567326367018</v>
          </cell>
          <cell r="D59">
            <v>300</v>
          </cell>
          <cell r="E59">
            <v>45</v>
          </cell>
        </row>
        <row r="60">
          <cell r="A60" t="str">
            <v>R-GH116</v>
          </cell>
          <cell r="B60" t="str">
            <v>Boiler to Polaris Combo radiant, Z 3</v>
          </cell>
          <cell r="C60">
            <v>398.56802919597578</v>
          </cell>
          <cell r="D60">
            <v>4400</v>
          </cell>
          <cell r="E60">
            <v>45</v>
          </cell>
        </row>
        <row r="61">
          <cell r="A61" t="str">
            <v>R-GH117</v>
          </cell>
          <cell r="B61" t="str">
            <v>Duct Sealing,  Z 4</v>
          </cell>
          <cell r="C61">
            <v>151.29711399304443</v>
          </cell>
          <cell r="D61">
            <v>619</v>
          </cell>
          <cell r="E61">
            <v>20</v>
          </cell>
        </row>
        <row r="62">
          <cell r="A62" t="str">
            <v>R-GH118</v>
          </cell>
          <cell r="B62" t="str">
            <v>AFUE 90 to hydrocoil combo, Z 4</v>
          </cell>
          <cell r="C62">
            <v>168.58131406305466</v>
          </cell>
          <cell r="D62">
            <v>300</v>
          </cell>
          <cell r="E62">
            <v>45</v>
          </cell>
        </row>
        <row r="63">
          <cell r="A63" t="str">
            <v>R-GH119</v>
          </cell>
          <cell r="B63" t="str">
            <v>Boiler to Polaris Combo radiant, Z 4</v>
          </cell>
          <cell r="C63">
            <v>381.35511159032558</v>
          </cell>
          <cell r="D63">
            <v>4400</v>
          </cell>
          <cell r="E63">
            <v>45</v>
          </cell>
        </row>
        <row r="64">
          <cell r="A64" t="str">
            <v>R-GH122</v>
          </cell>
          <cell r="B64" t="str">
            <v>AFUE 90+ Furnace, Z 3</v>
          </cell>
          <cell r="C64">
            <v>77.143331535369825</v>
          </cell>
          <cell r="D64">
            <v>300</v>
          </cell>
          <cell r="E64">
            <v>18</v>
          </cell>
        </row>
        <row r="65">
          <cell r="A65" t="str">
            <v>R-GH123</v>
          </cell>
          <cell r="B65" t="str">
            <v>Duct Sealing and AFUE 90+ , Z 3</v>
          </cell>
          <cell r="C65">
            <v>160.60137954288945</v>
          </cell>
          <cell r="D65">
            <v>1600</v>
          </cell>
          <cell r="E65">
            <v>20</v>
          </cell>
        </row>
        <row r="66">
          <cell r="A66" t="str">
            <v>R-GH124</v>
          </cell>
          <cell r="B66" t="str">
            <v>AFUE 90+ Furnace, Z 4</v>
          </cell>
          <cell r="C66">
            <v>77.143331535369825</v>
          </cell>
          <cell r="D66">
            <v>300</v>
          </cell>
          <cell r="E66">
            <v>18</v>
          </cell>
        </row>
        <row r="67">
          <cell r="A67" t="str">
            <v>R-GH125</v>
          </cell>
          <cell r="B67" t="str">
            <v>Duct Sealing and AFUE 90+ , Z 4</v>
          </cell>
          <cell r="C67">
            <v>151.29711399304443</v>
          </cell>
          <cell r="D67">
            <v>1600</v>
          </cell>
          <cell r="E67">
            <v>20</v>
          </cell>
        </row>
        <row r="68">
          <cell r="A68" t="str">
            <v>R-GW117</v>
          </cell>
          <cell r="B68" t="str">
            <v>Wx insulation (ceiling, floor), Z 1-2</v>
          </cell>
          <cell r="C68">
            <v>322.22636417500001</v>
          </cell>
          <cell r="D68">
            <v>2099</v>
          </cell>
          <cell r="E68">
            <v>45</v>
          </cell>
        </row>
        <row r="69">
          <cell r="A69" t="str">
            <v>R-GW118</v>
          </cell>
          <cell r="B69" t="str">
            <v>Wx insulation (add walls), Z 1-2</v>
          </cell>
          <cell r="C69">
            <v>260.71676622499996</v>
          </cell>
          <cell r="D69">
            <v>1305</v>
          </cell>
          <cell r="E69">
            <v>45</v>
          </cell>
        </row>
        <row r="70">
          <cell r="A70" t="str">
            <v>R-GW119</v>
          </cell>
          <cell r="B70" t="str">
            <v>Window, retro (U=.35), Z 1-2</v>
          </cell>
          <cell r="C70">
            <v>154.92191476249997</v>
          </cell>
          <cell r="D70">
            <v>4500</v>
          </cell>
          <cell r="E70">
            <v>45</v>
          </cell>
        </row>
        <row r="71">
          <cell r="A71" t="str">
            <v>R-GW120</v>
          </cell>
          <cell r="B71" t="str">
            <v>Window replace (U=.35), Z 1-2</v>
          </cell>
          <cell r="C71">
            <v>19.365239345312496</v>
          </cell>
          <cell r="D71">
            <v>350</v>
          </cell>
          <cell r="E71">
            <v>45</v>
          </cell>
        </row>
        <row r="72">
          <cell r="A72" t="str">
            <v>R-GW121</v>
          </cell>
          <cell r="B72" t="str">
            <v>HRV, Z 1-2</v>
          </cell>
          <cell r="C72">
            <v>58.700080343749981</v>
          </cell>
          <cell r="D72">
            <v>2000</v>
          </cell>
          <cell r="E72">
            <v>36</v>
          </cell>
        </row>
        <row r="73">
          <cell r="A73" t="str">
            <v>R-GW122</v>
          </cell>
          <cell r="B73" t="str">
            <v>Wx insulation (ceiling, floor), Z 3</v>
          </cell>
          <cell r="C73">
            <v>450.30187691249995</v>
          </cell>
          <cell r="D73">
            <v>2099</v>
          </cell>
          <cell r="E73">
            <v>45</v>
          </cell>
        </row>
        <row r="74">
          <cell r="A74" t="str">
            <v>R-GW123</v>
          </cell>
          <cell r="B74" t="str">
            <v>Wx insulation (add walls), Z 3</v>
          </cell>
          <cell r="C74">
            <v>379.38024886249991</v>
          </cell>
          <cell r="D74">
            <v>1305</v>
          </cell>
          <cell r="E74">
            <v>45</v>
          </cell>
        </row>
        <row r="75">
          <cell r="A75" t="str">
            <v>R-GW124</v>
          </cell>
          <cell r="B75" t="str">
            <v>Window, retro (U=.35), Z 3</v>
          </cell>
          <cell r="C75">
            <v>223.63618506250003</v>
          </cell>
          <cell r="D75">
            <v>4500</v>
          </cell>
          <cell r="E75">
            <v>45</v>
          </cell>
        </row>
        <row r="76">
          <cell r="A76" t="str">
            <v>R-GW125</v>
          </cell>
          <cell r="B76" t="str">
            <v>Window replace (U=.35), Z 3</v>
          </cell>
          <cell r="C76">
            <v>27.954523132812504</v>
          </cell>
          <cell r="D76">
            <v>350</v>
          </cell>
          <cell r="E76">
            <v>45</v>
          </cell>
        </row>
        <row r="77">
          <cell r="A77" t="str">
            <v>R-GW126</v>
          </cell>
          <cell r="B77" t="str">
            <v>HRV, Z 3</v>
          </cell>
          <cell r="C77">
            <v>89.166715462499965</v>
          </cell>
          <cell r="D77">
            <v>2000</v>
          </cell>
          <cell r="E77">
            <v>18</v>
          </cell>
        </row>
        <row r="78">
          <cell r="A78" t="str">
            <v>R-GW127</v>
          </cell>
          <cell r="B78" t="str">
            <v>Wx insulation (ceiling, floor), Z 4</v>
          </cell>
          <cell r="C78">
            <v>450.30187691249995</v>
          </cell>
          <cell r="D78">
            <v>2099</v>
          </cell>
          <cell r="E78">
            <v>45</v>
          </cell>
        </row>
        <row r="79">
          <cell r="A79" t="str">
            <v>R-GW128</v>
          </cell>
          <cell r="B79" t="str">
            <v>Wx insulation (add walls), Z 4</v>
          </cell>
          <cell r="C79">
            <v>379.38024886249991</v>
          </cell>
          <cell r="D79">
            <v>1305</v>
          </cell>
          <cell r="E79">
            <v>45</v>
          </cell>
        </row>
        <row r="80">
          <cell r="A80" t="str">
            <v>R-GW129</v>
          </cell>
          <cell r="B80" t="str">
            <v>Window, retro (U=.35), Z 4</v>
          </cell>
          <cell r="C80">
            <v>223.63618506250003</v>
          </cell>
          <cell r="D80">
            <v>4500</v>
          </cell>
          <cell r="E80">
            <v>45</v>
          </cell>
        </row>
        <row r="81">
          <cell r="A81" t="str">
            <v>R-GW130</v>
          </cell>
          <cell r="B81" t="str">
            <v>Window replace (U=.35), Z 4</v>
          </cell>
          <cell r="C81">
            <v>27.954523132812504</v>
          </cell>
          <cell r="D81">
            <v>350</v>
          </cell>
          <cell r="E81">
            <v>45</v>
          </cell>
        </row>
        <row r="82">
          <cell r="A82" t="str">
            <v>R-GW131</v>
          </cell>
          <cell r="B82" t="str">
            <v>HRV, Z 4</v>
          </cell>
          <cell r="C82">
            <v>89.166715462499965</v>
          </cell>
          <cell r="D82">
            <v>2000</v>
          </cell>
          <cell r="E82">
            <v>18</v>
          </cell>
        </row>
        <row r="83">
          <cell r="A83" t="str">
            <v>R-H101</v>
          </cell>
          <cell r="B83" t="str">
            <v>Duct Sealing, Zone 1</v>
          </cell>
          <cell r="C83">
            <v>87.5</v>
          </cell>
          <cell r="D83">
            <v>800</v>
          </cell>
          <cell r="E83">
            <v>20</v>
          </cell>
          <cell r="F83" t="str">
            <v>PTCS Duct Sealing</v>
          </cell>
          <cell r="G83" t="str">
            <v>PTCS Certified Duct Sealing</v>
          </cell>
        </row>
        <row r="84">
          <cell r="A84" t="str">
            <v>R-H102</v>
          </cell>
          <cell r="B84" t="str">
            <v>Duct Sealing, Zone 2</v>
          </cell>
          <cell r="C84">
            <v>77</v>
          </cell>
          <cell r="D84">
            <v>800</v>
          </cell>
          <cell r="E84">
            <v>20</v>
          </cell>
          <cell r="F84" t="str">
            <v>PTCS Duct Sealing</v>
          </cell>
          <cell r="G84" t="str">
            <v>PTCS Certified Duct Sealing</v>
          </cell>
        </row>
        <row r="85">
          <cell r="A85" t="str">
            <v>R-H103</v>
          </cell>
          <cell r="B85" t="str">
            <v>Duct Sealing, Zone 3</v>
          </cell>
          <cell r="C85">
            <v>113.4</v>
          </cell>
          <cell r="D85">
            <v>800</v>
          </cell>
          <cell r="E85">
            <v>20</v>
          </cell>
          <cell r="F85" t="str">
            <v>PTCS Duct Sealing</v>
          </cell>
          <cell r="G85" t="str">
            <v>PTCS Certified Duct Sealing</v>
          </cell>
        </row>
        <row r="86">
          <cell r="A86" t="str">
            <v>R-H104</v>
          </cell>
          <cell r="B86" t="str">
            <v>AFUE 90+ Furnace, Zone 1</v>
          </cell>
          <cell r="C86">
            <v>81.207699999999988</v>
          </cell>
          <cell r="D86">
            <v>800</v>
          </cell>
          <cell r="E86">
            <v>18</v>
          </cell>
          <cell r="F86" t="str">
            <v>90% AFUE New Gas Furnace (Existing)</v>
          </cell>
          <cell r="G86" t="str">
            <v>90% AFUE Rating</v>
          </cell>
        </row>
        <row r="87">
          <cell r="A87" t="str">
            <v>R-H105</v>
          </cell>
          <cell r="B87" t="str">
            <v>AFUE 90+ Furnace, Zone 2</v>
          </cell>
          <cell r="C87">
            <v>75.167400000000015</v>
          </cell>
          <cell r="D87">
            <v>800</v>
          </cell>
          <cell r="E87">
            <v>18</v>
          </cell>
          <cell r="F87" t="str">
            <v>90% AFUE New Gas Furnace (Existing)</v>
          </cell>
          <cell r="G87" t="str">
            <v>90% AFUE Rating</v>
          </cell>
        </row>
        <row r="88">
          <cell r="A88" t="str">
            <v>R-H106</v>
          </cell>
          <cell r="B88" t="str">
            <v>AFUE 90+ Furnace, Zone 3</v>
          </cell>
          <cell r="C88">
            <v>98.611099999999993</v>
          </cell>
          <cell r="D88">
            <v>800</v>
          </cell>
          <cell r="E88">
            <v>18</v>
          </cell>
          <cell r="F88" t="str">
            <v>90% AFUE New Gas Furnace (Existing)</v>
          </cell>
          <cell r="G88" t="str">
            <v>90% AFUE Rating</v>
          </cell>
        </row>
        <row r="89">
          <cell r="A89" t="str">
            <v>R-H107</v>
          </cell>
          <cell r="B89" t="str">
            <v>AFUE 85 DHW combo, Zone 1</v>
          </cell>
          <cell r="C89">
            <v>109.17087126137841</v>
          </cell>
          <cell r="D89">
            <v>2150</v>
          </cell>
          <cell r="E89">
            <v>18</v>
          </cell>
        </row>
        <row r="90">
          <cell r="A90" t="str">
            <v>R-H108</v>
          </cell>
          <cell r="B90" t="str">
            <v>AFUE 85 DHW combo, Zone 2</v>
          </cell>
          <cell r="C90">
            <v>101.45812743823147</v>
          </cell>
          <cell r="D90">
            <v>2150</v>
          </cell>
          <cell r="E90">
            <v>18</v>
          </cell>
        </row>
        <row r="91">
          <cell r="A91" t="str">
            <v>R-H109</v>
          </cell>
          <cell r="B91" t="str">
            <v>AFUE 85 DHW combo, Zone 3</v>
          </cell>
          <cell r="C91">
            <v>115.20416124837449</v>
          </cell>
          <cell r="D91">
            <v>2150</v>
          </cell>
          <cell r="E91">
            <v>18</v>
          </cell>
        </row>
        <row r="92">
          <cell r="A92" t="str">
            <v>R-H110</v>
          </cell>
          <cell r="B92" t="str">
            <v>Combo with Hot Water delivery, Zone 1</v>
          </cell>
          <cell r="C92">
            <v>297.25877763328992</v>
          </cell>
          <cell r="D92">
            <v>4000</v>
          </cell>
          <cell r="E92">
            <v>30</v>
          </cell>
        </row>
        <row r="93">
          <cell r="A93" t="str">
            <v>R-H111</v>
          </cell>
          <cell r="B93" t="str">
            <v>Combo with Hot Water delivery, Zone 2</v>
          </cell>
          <cell r="C93">
            <v>287.83198959687905</v>
          </cell>
          <cell r="D93">
            <v>4000</v>
          </cell>
          <cell r="E93">
            <v>30</v>
          </cell>
        </row>
        <row r="94">
          <cell r="A94" t="str">
            <v>R-H112</v>
          </cell>
          <cell r="B94" t="str">
            <v>Combo with Hot Water delivery, Zone 3</v>
          </cell>
          <cell r="C94">
            <v>326.50729999999999</v>
          </cell>
          <cell r="D94">
            <v>4000</v>
          </cell>
          <cell r="E94">
            <v>30</v>
          </cell>
        </row>
        <row r="95">
          <cell r="A95" t="str">
            <v>R-H113</v>
          </cell>
          <cell r="B95" t="str">
            <v>Duct Sealing and AFUE 90+, Zone 1</v>
          </cell>
          <cell r="C95">
            <v>172.73549999999997</v>
          </cell>
          <cell r="D95">
            <v>1250</v>
          </cell>
          <cell r="E95">
            <v>20</v>
          </cell>
          <cell r="F95" t="str">
            <v>90% Furnace &amp; PTCS Duct Sealing</v>
          </cell>
          <cell r="G95" t="str">
            <v>90% AFUE Rating</v>
          </cell>
        </row>
        <row r="96">
          <cell r="A96" t="str">
            <v>R-H114</v>
          </cell>
          <cell r="B96" t="str">
            <v>Duct Sealing and AFUE 90+, Zone 2</v>
          </cell>
          <cell r="C96">
            <v>160.37629999999999</v>
          </cell>
          <cell r="D96">
            <v>1250</v>
          </cell>
          <cell r="E96">
            <v>20</v>
          </cell>
          <cell r="F96" t="str">
            <v>90% Furnace &amp; PTCS Duct Sealing</v>
          </cell>
          <cell r="G96" t="str">
            <v>90% AFUE Rating</v>
          </cell>
        </row>
        <row r="97">
          <cell r="A97" t="str">
            <v>R-H115</v>
          </cell>
          <cell r="B97" t="str">
            <v>Duct Sealing and AFUE 90+, Zone 3</v>
          </cell>
          <cell r="C97">
            <v>210.43959999999998</v>
          </cell>
          <cell r="D97">
            <v>1250</v>
          </cell>
          <cell r="E97">
            <v>20</v>
          </cell>
          <cell r="F97" t="str">
            <v>90% Furnace &amp; PTCS Duct Sealing</v>
          </cell>
          <cell r="G97" t="str">
            <v>90% AFUE Rating</v>
          </cell>
        </row>
        <row r="98">
          <cell r="A98" t="str">
            <v>R-WG101</v>
          </cell>
          <cell r="B98" t="str">
            <v>Wx insulation 2 measures Zone 1</v>
          </cell>
          <cell r="C98">
            <v>228.30149999999998</v>
          </cell>
          <cell r="D98">
            <v>2400</v>
          </cell>
          <cell r="E98">
            <v>45</v>
          </cell>
        </row>
        <row r="99">
          <cell r="A99" t="str">
            <v>R-WG102</v>
          </cell>
          <cell r="B99" t="str">
            <v>Wx insulation 2 measures Zone 2</v>
          </cell>
          <cell r="C99">
            <v>221.84399999999997</v>
          </cell>
          <cell r="D99">
            <v>2400</v>
          </cell>
          <cell r="E99">
            <v>45</v>
          </cell>
        </row>
        <row r="100">
          <cell r="A100" t="str">
            <v>R-WG103</v>
          </cell>
          <cell r="B100" t="str">
            <v>Wx insulation 2 measures Zone 3</v>
          </cell>
          <cell r="C100">
            <v>258.29090000000002</v>
          </cell>
          <cell r="D100">
            <v>2400</v>
          </cell>
          <cell r="E100">
            <v>45</v>
          </cell>
        </row>
        <row r="101">
          <cell r="A101" t="str">
            <v>R-WG104</v>
          </cell>
          <cell r="B101" t="str">
            <v>Wx insulation 1 added measure Zone 1</v>
          </cell>
          <cell r="C101">
            <v>323.0514</v>
          </cell>
          <cell r="D101">
            <v>800</v>
          </cell>
          <cell r="E101">
            <v>45</v>
          </cell>
        </row>
        <row r="102">
          <cell r="A102" t="str">
            <v>R-WG105</v>
          </cell>
          <cell r="B102" t="str">
            <v>Wx insulation 1 added measure Zone 2</v>
          </cell>
          <cell r="C102">
            <v>313.69240000000002</v>
          </cell>
          <cell r="D102">
            <v>800</v>
          </cell>
          <cell r="E102">
            <v>45</v>
          </cell>
        </row>
        <row r="103">
          <cell r="A103" t="str">
            <v>R-WG106</v>
          </cell>
          <cell r="B103" t="str">
            <v>Wx insulation 1 added measure Zone 3</v>
          </cell>
          <cell r="C103">
            <v>367.34949999999998</v>
          </cell>
          <cell r="D103">
            <v>800</v>
          </cell>
          <cell r="E103">
            <v>45</v>
          </cell>
        </row>
        <row r="104">
          <cell r="A104" t="str">
            <v>R-WG107</v>
          </cell>
          <cell r="B104" t="str">
            <v>Window, replacement (U=.35) Zone 1</v>
          </cell>
          <cell r="C104">
            <v>474.95419999999996</v>
          </cell>
          <cell r="D104">
            <v>4500</v>
          </cell>
          <cell r="E104">
            <v>45</v>
          </cell>
        </row>
        <row r="105">
          <cell r="A105" t="str">
            <v>R-WG108</v>
          </cell>
          <cell r="B105" t="str">
            <v>Window, replacement (U=.35) Zone 2</v>
          </cell>
          <cell r="C105">
            <v>457.34780000000001</v>
          </cell>
          <cell r="D105">
            <v>4500</v>
          </cell>
          <cell r="E105">
            <v>45</v>
          </cell>
        </row>
        <row r="106">
          <cell r="A106" t="str">
            <v>R-WG109</v>
          </cell>
          <cell r="B106" t="str">
            <v>Window, replacement (U=.35) Zone 3</v>
          </cell>
          <cell r="C106">
            <v>543.73900000000003</v>
          </cell>
          <cell r="D106">
            <v>4500</v>
          </cell>
          <cell r="E106">
            <v>45</v>
          </cell>
        </row>
        <row r="107">
          <cell r="A107" t="str">
            <v>R-WG110</v>
          </cell>
          <cell r="B107" t="str">
            <v>Window upgrade (U=.4 to U=.35) Zone 1</v>
          </cell>
          <cell r="C107">
            <v>17.281599999999994</v>
          </cell>
          <cell r="D107">
            <v>350</v>
          </cell>
          <cell r="E107">
            <v>45</v>
          </cell>
        </row>
        <row r="108">
          <cell r="A108" t="str">
            <v>R-WG111</v>
          </cell>
          <cell r="B108" t="str">
            <v>Window upgrade (U=.4 to U=.35) Zone 2</v>
          </cell>
          <cell r="C108">
            <v>16.938599999999997</v>
          </cell>
          <cell r="D108">
            <v>350</v>
          </cell>
          <cell r="E108">
            <v>45</v>
          </cell>
        </row>
        <row r="109">
          <cell r="A109" t="str">
            <v>R-WG112</v>
          </cell>
          <cell r="B109" t="str">
            <v>Window upgrade (U=.4 to U=.35) Zone 3</v>
          </cell>
          <cell r="C109">
            <v>20.067599999999999</v>
          </cell>
          <cell r="D109">
            <v>350</v>
          </cell>
          <cell r="E109">
            <v>45</v>
          </cell>
        </row>
        <row r="110">
          <cell r="A110" t="str">
            <v>R-WG113</v>
          </cell>
          <cell r="B110" t="str">
            <v>HRV Zone 1</v>
          </cell>
          <cell r="C110">
            <v>65.181899999999999</v>
          </cell>
          <cell r="D110">
            <v>2000</v>
          </cell>
          <cell r="E110">
            <v>18</v>
          </cell>
        </row>
        <row r="111">
          <cell r="A111" t="str">
            <v>R-WG114</v>
          </cell>
          <cell r="B111" t="str">
            <v>HRV Zone 2</v>
          </cell>
          <cell r="C111">
            <v>63.179900000000011</v>
          </cell>
          <cell r="D111">
            <v>2000</v>
          </cell>
          <cell r="E111">
            <v>18</v>
          </cell>
        </row>
        <row r="112">
          <cell r="A112" t="str">
            <v>R-WG115</v>
          </cell>
          <cell r="B112" t="str">
            <v>HRV Zone 3</v>
          </cell>
          <cell r="C112">
            <v>73.857699999999994</v>
          </cell>
          <cell r="D112">
            <v>2000</v>
          </cell>
          <cell r="E112">
            <v>18</v>
          </cell>
        </row>
        <row r="113">
          <cell r="A113" t="str">
            <v>WALL</v>
          </cell>
          <cell r="B113" t="str">
            <v>WALL INSULATION ZONE 1</v>
          </cell>
          <cell r="C113">
            <v>119.46100000000001</v>
          </cell>
          <cell r="D113">
            <v>1184.5303867403316</v>
          </cell>
          <cell r="E113">
            <v>45</v>
          </cell>
          <cell r="F113" t="str">
            <v>Wall Insulation</v>
          </cell>
          <cell r="G113" t="str">
            <v>Equal to or Greater than R-11 to fill cavity</v>
          </cell>
        </row>
        <row r="114">
          <cell r="A114" t="str">
            <v>WALL</v>
          </cell>
          <cell r="B114" t="str">
            <v>WALL INSULATION ZONE 2</v>
          </cell>
          <cell r="C114">
            <v>115.89500000000001</v>
          </cell>
          <cell r="D114">
            <v>1188.5714285714289</v>
          </cell>
          <cell r="E114">
            <v>45</v>
          </cell>
          <cell r="F114" t="str">
            <v>Wall Insulation</v>
          </cell>
          <cell r="G114" t="str">
            <v>Equal to or Greater than R-11 to fill cavity</v>
          </cell>
        </row>
        <row r="115">
          <cell r="A115" t="str">
            <v>WALL</v>
          </cell>
          <cell r="B115" t="str">
            <v>WALL INSULATION ZONE3</v>
          </cell>
          <cell r="C115">
            <v>135.50800000000001</v>
          </cell>
          <cell r="D115">
            <v>1180.5825242718447</v>
          </cell>
          <cell r="E115">
            <v>45</v>
          </cell>
          <cell r="F115" t="str">
            <v>Wall Insulation</v>
          </cell>
          <cell r="G115" t="str">
            <v>Equal to or Greater than R-11 to fill cavity</v>
          </cell>
        </row>
      </sheetData>
      <sheetData sheetId="1" refreshError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torvick, Jon" id="{100C6B16-5DAD-492C-9B72-BD34F18EBF06}" userId="S::Jon.Storvick@cngc.com::28eddeee-209e-4925-9513-23bbf73119c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58" dT="2022-03-17T22:02:39.87" personId="{100C6B16-5DAD-492C-9B72-BD34F18EBF06}" id="{E3735F46-87CC-4C55-850D-14C09AAD7880}">
    <text>This is an admin cost, not to be included in rebate total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41"/>
    <pageSetUpPr fitToPage="1"/>
  </sheetPr>
  <dimension ref="A1:Z89"/>
  <sheetViews>
    <sheetView tabSelected="1" showOutlineSymbols="0" zoomScaleNormal="100" workbookViewId="0"/>
  </sheetViews>
  <sheetFormatPr defaultColWidth="16.1640625" defaultRowHeight="12.75" x14ac:dyDescent="0.2"/>
  <cols>
    <col min="1" max="1" width="68.1640625" style="1" customWidth="1"/>
    <col min="2" max="2" width="49" style="1" bestFit="1" customWidth="1" collapsed="1"/>
    <col min="3" max="3" width="69.83203125" style="20" bestFit="1" customWidth="1"/>
    <col min="4" max="4" width="91.1640625" style="20" bestFit="1" customWidth="1"/>
    <col min="5" max="5" width="28.33203125" style="21" bestFit="1" customWidth="1"/>
    <col min="6" max="6" width="29.33203125" style="2" bestFit="1" customWidth="1"/>
    <col min="7" max="7" width="11.1640625" style="2" bestFit="1" customWidth="1"/>
    <col min="8" max="8" width="20.6640625" style="19" bestFit="1" customWidth="1"/>
    <col min="9" max="9" width="37.5" style="19" bestFit="1" customWidth="1"/>
    <col min="10" max="10" width="35.33203125" style="1" bestFit="1" customWidth="1"/>
    <col min="11" max="11" width="31.83203125" style="1" bestFit="1" customWidth="1"/>
    <col min="12" max="12" width="22.6640625" style="1" bestFit="1" customWidth="1"/>
    <col min="13" max="13" width="53.6640625" style="1" bestFit="1" customWidth="1"/>
    <col min="14" max="14" width="17.1640625" style="1" bestFit="1" customWidth="1"/>
    <col min="15" max="15" width="34.83203125" style="1" bestFit="1" customWidth="1"/>
    <col min="16" max="16" width="37.33203125" style="2" bestFit="1" customWidth="1"/>
    <col min="17" max="17" width="22" style="2" bestFit="1" customWidth="1"/>
    <col min="18" max="18" width="32.1640625" style="22" bestFit="1" customWidth="1"/>
    <col min="19" max="19" width="47.5" style="22" bestFit="1" customWidth="1"/>
    <col min="20" max="20" width="20.83203125" style="2" bestFit="1" customWidth="1"/>
    <col min="21" max="21" width="30.83203125" style="2" bestFit="1" customWidth="1"/>
    <col min="22" max="22" width="51.1640625" style="2" bestFit="1" customWidth="1"/>
    <col min="23" max="23" width="11.6640625" style="2" customWidth="1"/>
    <col min="24" max="24" width="29.5" style="2" bestFit="1" customWidth="1"/>
    <col min="25" max="25" width="32.1640625" style="2" bestFit="1" customWidth="1"/>
    <col min="26" max="26" width="53.83203125" style="1" bestFit="1" customWidth="1"/>
  </cols>
  <sheetData>
    <row r="1" spans="1:26" ht="27.75" customHeight="1" thickBot="1" x14ac:dyDescent="0.25">
      <c r="A1" s="80" t="s">
        <v>28</v>
      </c>
      <c r="B1" s="115" t="s">
        <v>1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7"/>
    </row>
    <row r="2" spans="1:26" ht="22.5" customHeight="1" thickBot="1" x14ac:dyDescent="0.25">
      <c r="A2" s="81">
        <v>2021</v>
      </c>
      <c r="B2" s="118" t="s">
        <v>26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20"/>
    </row>
    <row r="3" spans="1:26" ht="33" customHeight="1" thickBot="1" x14ac:dyDescent="0.25">
      <c r="A3" s="60" t="s">
        <v>243</v>
      </c>
      <c r="B3" s="60" t="s">
        <v>2</v>
      </c>
      <c r="C3" s="60" t="s">
        <v>8</v>
      </c>
      <c r="D3" s="60" t="s">
        <v>13</v>
      </c>
      <c r="E3" s="60" t="s">
        <v>241</v>
      </c>
      <c r="F3" s="60" t="s">
        <v>242</v>
      </c>
      <c r="G3" s="60" t="s">
        <v>240</v>
      </c>
      <c r="H3" s="60" t="s">
        <v>228</v>
      </c>
      <c r="I3" s="60" t="s">
        <v>229</v>
      </c>
      <c r="J3" s="60" t="s">
        <v>230</v>
      </c>
      <c r="K3" s="60" t="s">
        <v>231</v>
      </c>
      <c r="L3" s="60" t="s">
        <v>232</v>
      </c>
      <c r="M3" s="60" t="s">
        <v>233</v>
      </c>
      <c r="N3" s="60" t="s">
        <v>234</v>
      </c>
      <c r="O3" s="60" t="s">
        <v>235</v>
      </c>
      <c r="P3" s="60" t="s">
        <v>236</v>
      </c>
      <c r="Q3" s="60" t="s">
        <v>237</v>
      </c>
      <c r="R3" s="60" t="s">
        <v>238</v>
      </c>
      <c r="S3" s="60" t="s">
        <v>239</v>
      </c>
      <c r="T3" s="60" t="s">
        <v>227</v>
      </c>
      <c r="U3" s="60" t="s">
        <v>226</v>
      </c>
      <c r="V3" s="60" t="s">
        <v>222</v>
      </c>
      <c r="W3" s="60"/>
      <c r="X3" s="60" t="s">
        <v>223</v>
      </c>
      <c r="Y3" s="60" t="s">
        <v>224</v>
      </c>
      <c r="Z3" s="60" t="s">
        <v>225</v>
      </c>
    </row>
    <row r="4" spans="1:26" ht="13.5" thickBot="1" x14ac:dyDescent="0.25">
      <c r="A4" s="61" t="s">
        <v>163</v>
      </c>
      <c r="B4" s="61" t="s">
        <v>31</v>
      </c>
      <c r="C4" s="61" t="s">
        <v>93</v>
      </c>
      <c r="D4" s="62" t="s">
        <v>90</v>
      </c>
      <c r="E4" s="62">
        <v>46</v>
      </c>
      <c r="F4" s="97">
        <v>1.5</v>
      </c>
      <c r="G4" s="63" t="s">
        <v>80</v>
      </c>
      <c r="H4" s="97">
        <v>78637.8</v>
      </c>
      <c r="I4" s="97">
        <f t="shared" ref="I4:I35" si="0">H4*F4</f>
        <v>117956.70000000001</v>
      </c>
      <c r="J4" s="65">
        <v>8.89</v>
      </c>
      <c r="K4" s="66">
        <f t="shared" ref="K4:K51" si="1">H4*J4</f>
        <v>699090.04200000002</v>
      </c>
      <c r="L4" s="94">
        <f t="shared" ref="L4:L16" si="2">PV($B$74,$N4,(-0.05*0.9*$F4))</f>
        <v>0.96807601440630597</v>
      </c>
      <c r="M4" s="94">
        <f t="shared" ref="M4:M35" si="3">MAX(0,H4*(J4-L4))</f>
        <v>622962.67399431986</v>
      </c>
      <c r="N4" s="62">
        <v>20</v>
      </c>
      <c r="O4" s="63">
        <f t="shared" ref="O4:O35" si="4">PV($B$74,N4,-I4)</f>
        <v>1691719.2890151157</v>
      </c>
      <c r="P4" s="64">
        <f t="shared" ref="P4:P35" si="5">$B$77*I4/SUM($I$4:$I$51)</f>
        <v>444511.77752418502</v>
      </c>
      <c r="Q4" s="65">
        <v>6</v>
      </c>
      <c r="R4" s="67">
        <f t="shared" ref="R4:R35" si="6">H4*Q4</f>
        <v>471826.80000000005</v>
      </c>
      <c r="S4" s="67">
        <v>0</v>
      </c>
      <c r="T4" s="94">
        <f t="shared" ref="T4:T35" si="7">IF(ISERROR(R4/O4),0,R4/O4)</f>
        <v>0.27890371828454347</v>
      </c>
      <c r="U4" s="69">
        <f t="shared" ref="U4:U35" si="8">IF(O4=0,0,(R4+P4)/O4)</f>
        <v>0.5416611275134533</v>
      </c>
      <c r="V4" s="101">
        <f t="shared" ref="V4:V35" si="9">IF($R4=0,"-",(VLOOKUP($N4,AC,6)*$I4)/($R4+$P4))</f>
        <v>2.7212758198392053</v>
      </c>
      <c r="W4" s="68"/>
      <c r="X4" s="94">
        <f t="shared" ref="X4:X35" si="10">IF(ISERROR(M4/O4),0,M4/O4)</f>
        <v>0.3682423425915986</v>
      </c>
      <c r="Y4" s="94">
        <f t="shared" ref="Y4:Y35" si="11">IF(O4=0,0,(M4+P4)/O4)</f>
        <v>0.63099975182050838</v>
      </c>
      <c r="Z4" s="101">
        <f t="shared" ref="Z4:Z35" si="12">IF($M4=0,"-",(VLOOKUP($N4,AC,4)*$I4)/(M4+P4))</f>
        <v>2.1236275876589796</v>
      </c>
    </row>
    <row r="5" spans="1:26" ht="13.5" thickBot="1" x14ac:dyDescent="0.25">
      <c r="A5" s="70" t="s">
        <v>164</v>
      </c>
      <c r="B5" s="70" t="s">
        <v>113</v>
      </c>
      <c r="C5" s="70" t="s">
        <v>130</v>
      </c>
      <c r="D5" s="71" t="s">
        <v>131</v>
      </c>
      <c r="E5" s="71">
        <v>0</v>
      </c>
      <c r="F5" s="98">
        <v>136.9</v>
      </c>
      <c r="G5" s="72" t="s">
        <v>27</v>
      </c>
      <c r="H5" s="98">
        <v>0</v>
      </c>
      <c r="I5" s="98">
        <f t="shared" si="0"/>
        <v>0</v>
      </c>
      <c r="J5" s="74">
        <v>315</v>
      </c>
      <c r="K5" s="75">
        <f t="shared" si="1"/>
        <v>0</v>
      </c>
      <c r="L5" s="95">
        <f t="shared" si="2"/>
        <v>37.809625603876327</v>
      </c>
      <c r="M5" s="95">
        <f t="shared" si="3"/>
        <v>0</v>
      </c>
      <c r="N5" s="71">
        <v>7</v>
      </c>
      <c r="O5" s="72">
        <f t="shared" si="4"/>
        <v>0</v>
      </c>
      <c r="P5" s="73">
        <f t="shared" si="5"/>
        <v>0</v>
      </c>
      <c r="Q5" s="74">
        <v>125</v>
      </c>
      <c r="R5" s="76">
        <f t="shared" si="6"/>
        <v>0</v>
      </c>
      <c r="S5" s="76">
        <v>0</v>
      </c>
      <c r="T5" s="95">
        <f t="shared" si="7"/>
        <v>0</v>
      </c>
      <c r="U5" s="78">
        <f t="shared" si="8"/>
        <v>0</v>
      </c>
      <c r="V5" s="102" t="str">
        <f t="shared" si="9"/>
        <v>-</v>
      </c>
      <c r="W5" s="77"/>
      <c r="X5" s="95">
        <f t="shared" si="10"/>
        <v>0</v>
      </c>
      <c r="Y5" s="95">
        <f t="shared" si="11"/>
        <v>0</v>
      </c>
      <c r="Z5" s="102" t="str">
        <f t="shared" si="12"/>
        <v>-</v>
      </c>
    </row>
    <row r="6" spans="1:26" ht="12.75" customHeight="1" thickBot="1" x14ac:dyDescent="0.25">
      <c r="A6" s="61" t="s">
        <v>165</v>
      </c>
      <c r="B6" s="61" t="s">
        <v>10</v>
      </c>
      <c r="C6" s="61" t="s">
        <v>10</v>
      </c>
      <c r="D6" s="62" t="s">
        <v>132</v>
      </c>
      <c r="E6" s="62">
        <v>0</v>
      </c>
      <c r="F6" s="97">
        <v>270</v>
      </c>
      <c r="G6" s="63" t="s">
        <v>27</v>
      </c>
      <c r="H6" s="97">
        <v>0</v>
      </c>
      <c r="I6" s="97">
        <f t="shared" si="0"/>
        <v>0</v>
      </c>
      <c r="J6" s="65">
        <v>1.5</v>
      </c>
      <c r="K6" s="66">
        <f t="shared" si="1"/>
        <v>0</v>
      </c>
      <c r="L6" s="94">
        <f t="shared" si="2"/>
        <v>118.10351997304987</v>
      </c>
      <c r="M6" s="94">
        <f t="shared" si="3"/>
        <v>0</v>
      </c>
      <c r="N6" s="62">
        <v>12</v>
      </c>
      <c r="O6" s="63">
        <f t="shared" si="4"/>
        <v>0</v>
      </c>
      <c r="P6" s="64">
        <f t="shared" si="5"/>
        <v>0</v>
      </c>
      <c r="Q6" s="65">
        <v>1000</v>
      </c>
      <c r="R6" s="67">
        <f t="shared" si="6"/>
        <v>0</v>
      </c>
      <c r="S6" s="67">
        <v>0</v>
      </c>
      <c r="T6" s="94">
        <f t="shared" si="7"/>
        <v>0</v>
      </c>
      <c r="U6" s="69">
        <f t="shared" si="8"/>
        <v>0</v>
      </c>
      <c r="V6" s="101" t="str">
        <f t="shared" si="9"/>
        <v>-</v>
      </c>
      <c r="W6" s="68"/>
      <c r="X6" s="94">
        <f t="shared" si="10"/>
        <v>0</v>
      </c>
      <c r="Y6" s="94">
        <f t="shared" si="11"/>
        <v>0</v>
      </c>
      <c r="Z6" s="101" t="str">
        <f t="shared" si="12"/>
        <v>-</v>
      </c>
    </row>
    <row r="7" spans="1:26" ht="13.5" thickBot="1" x14ac:dyDescent="0.25">
      <c r="A7" s="70" t="s">
        <v>220</v>
      </c>
      <c r="B7" s="70" t="s">
        <v>7</v>
      </c>
      <c r="C7" s="70" t="s">
        <v>12</v>
      </c>
      <c r="D7" s="71" t="s">
        <v>18</v>
      </c>
      <c r="E7" s="71">
        <v>0</v>
      </c>
      <c r="F7" s="98">
        <v>90</v>
      </c>
      <c r="G7" s="72" t="s">
        <v>27</v>
      </c>
      <c r="H7" s="98">
        <v>0</v>
      </c>
      <c r="I7" s="98">
        <f t="shared" si="0"/>
        <v>0</v>
      </c>
      <c r="J7" s="74">
        <v>200</v>
      </c>
      <c r="K7" s="75">
        <f t="shared" si="1"/>
        <v>0</v>
      </c>
      <c r="L7" s="95">
        <f t="shared" si="2"/>
        <v>33.852662333435376</v>
      </c>
      <c r="M7" s="95">
        <f t="shared" si="3"/>
        <v>0</v>
      </c>
      <c r="N7" s="71">
        <v>10</v>
      </c>
      <c r="O7" s="72">
        <f t="shared" si="4"/>
        <v>0</v>
      </c>
      <c r="P7" s="73">
        <f t="shared" si="5"/>
        <v>0</v>
      </c>
      <c r="Q7" s="74">
        <v>180</v>
      </c>
      <c r="R7" s="76">
        <f t="shared" si="6"/>
        <v>0</v>
      </c>
      <c r="S7" s="76">
        <v>0</v>
      </c>
      <c r="T7" s="95">
        <f t="shared" si="7"/>
        <v>0</v>
      </c>
      <c r="U7" s="78">
        <f t="shared" si="8"/>
        <v>0</v>
      </c>
      <c r="V7" s="102" t="str">
        <f t="shared" si="9"/>
        <v>-</v>
      </c>
      <c r="W7" s="77"/>
      <c r="X7" s="95">
        <f t="shared" si="10"/>
        <v>0</v>
      </c>
      <c r="Y7" s="95">
        <f t="shared" si="11"/>
        <v>0</v>
      </c>
      <c r="Z7" s="102" t="str">
        <f t="shared" si="12"/>
        <v>-</v>
      </c>
    </row>
    <row r="8" spans="1:26" ht="13.5" thickBot="1" x14ac:dyDescent="0.25">
      <c r="A8" s="61" t="s">
        <v>166</v>
      </c>
      <c r="B8" s="61" t="s">
        <v>114</v>
      </c>
      <c r="C8" s="61" t="s">
        <v>11</v>
      </c>
      <c r="D8" s="62" t="s">
        <v>63</v>
      </c>
      <c r="E8" s="62">
        <v>0</v>
      </c>
      <c r="F8" s="97">
        <v>368</v>
      </c>
      <c r="G8" s="63" t="s">
        <v>64</v>
      </c>
      <c r="H8" s="97">
        <v>0</v>
      </c>
      <c r="I8" s="97">
        <f t="shared" si="0"/>
        <v>0</v>
      </c>
      <c r="J8" s="65">
        <v>900</v>
      </c>
      <c r="K8" s="66">
        <f t="shared" si="1"/>
        <v>0</v>
      </c>
      <c r="L8" s="94">
        <f t="shared" si="2"/>
        <v>160.97072351882352</v>
      </c>
      <c r="M8" s="94">
        <f t="shared" si="3"/>
        <v>0</v>
      </c>
      <c r="N8" s="62">
        <v>12</v>
      </c>
      <c r="O8" s="63">
        <f t="shared" si="4"/>
        <v>0</v>
      </c>
      <c r="P8" s="64">
        <f t="shared" si="5"/>
        <v>0</v>
      </c>
      <c r="Q8" s="65">
        <v>800</v>
      </c>
      <c r="R8" s="67">
        <f t="shared" si="6"/>
        <v>0</v>
      </c>
      <c r="S8" s="67">
        <v>0</v>
      </c>
      <c r="T8" s="94">
        <f t="shared" si="7"/>
        <v>0</v>
      </c>
      <c r="U8" s="69">
        <f t="shared" si="8"/>
        <v>0</v>
      </c>
      <c r="V8" s="101" t="str">
        <f t="shared" si="9"/>
        <v>-</v>
      </c>
      <c r="W8" s="68"/>
      <c r="X8" s="94">
        <f t="shared" si="10"/>
        <v>0</v>
      </c>
      <c r="Y8" s="94">
        <f t="shared" si="11"/>
        <v>0</v>
      </c>
      <c r="Z8" s="101" t="str">
        <f t="shared" si="12"/>
        <v>-</v>
      </c>
    </row>
    <row r="9" spans="1:26" ht="13.5" thickBot="1" x14ac:dyDescent="0.25">
      <c r="A9" s="70" t="s">
        <v>167</v>
      </c>
      <c r="B9" s="70" t="s">
        <v>115</v>
      </c>
      <c r="C9" s="70" t="s">
        <v>11</v>
      </c>
      <c r="D9" s="71" t="s">
        <v>63</v>
      </c>
      <c r="E9" s="71">
        <v>0</v>
      </c>
      <c r="F9" s="98">
        <v>219</v>
      </c>
      <c r="G9" s="72" t="s">
        <v>64</v>
      </c>
      <c r="H9" s="98">
        <v>0</v>
      </c>
      <c r="I9" s="98">
        <f t="shared" si="0"/>
        <v>0</v>
      </c>
      <c r="J9" s="74">
        <v>900</v>
      </c>
      <c r="K9" s="75">
        <f t="shared" si="1"/>
        <v>0</v>
      </c>
      <c r="L9" s="95">
        <f t="shared" si="2"/>
        <v>95.795077311473776</v>
      </c>
      <c r="M9" s="95">
        <f t="shared" si="3"/>
        <v>0</v>
      </c>
      <c r="N9" s="71">
        <v>12</v>
      </c>
      <c r="O9" s="72">
        <f t="shared" si="4"/>
        <v>0</v>
      </c>
      <c r="P9" s="73">
        <f t="shared" si="5"/>
        <v>0</v>
      </c>
      <c r="Q9" s="74">
        <v>800</v>
      </c>
      <c r="R9" s="76">
        <f t="shared" si="6"/>
        <v>0</v>
      </c>
      <c r="S9" s="76">
        <v>0</v>
      </c>
      <c r="T9" s="95">
        <f t="shared" si="7"/>
        <v>0</v>
      </c>
      <c r="U9" s="78">
        <f t="shared" si="8"/>
        <v>0</v>
      </c>
      <c r="V9" s="102" t="str">
        <f t="shared" si="9"/>
        <v>-</v>
      </c>
      <c r="W9" s="77"/>
      <c r="X9" s="95">
        <f t="shared" si="10"/>
        <v>0</v>
      </c>
      <c r="Y9" s="95">
        <f t="shared" si="11"/>
        <v>0</v>
      </c>
      <c r="Z9" s="102" t="str">
        <f t="shared" si="12"/>
        <v>-</v>
      </c>
    </row>
    <row r="10" spans="1:26" ht="13.5" thickBot="1" x14ac:dyDescent="0.25">
      <c r="A10" s="61" t="s">
        <v>168</v>
      </c>
      <c r="B10" s="61" t="s">
        <v>62</v>
      </c>
      <c r="C10" s="61" t="s">
        <v>11</v>
      </c>
      <c r="D10" s="62" t="s">
        <v>63</v>
      </c>
      <c r="E10" s="62">
        <v>4</v>
      </c>
      <c r="F10" s="97">
        <v>649</v>
      </c>
      <c r="G10" s="63" t="s">
        <v>64</v>
      </c>
      <c r="H10" s="97">
        <v>6</v>
      </c>
      <c r="I10" s="97">
        <f t="shared" si="0"/>
        <v>3894</v>
      </c>
      <c r="J10" s="65">
        <v>900</v>
      </c>
      <c r="K10" s="66">
        <f t="shared" si="1"/>
        <v>5400</v>
      </c>
      <c r="L10" s="94">
        <f t="shared" si="2"/>
        <v>283.88586837966432</v>
      </c>
      <c r="M10" s="94">
        <f t="shared" si="3"/>
        <v>3696.6847897220141</v>
      </c>
      <c r="N10" s="62">
        <v>12</v>
      </c>
      <c r="O10" s="63">
        <f t="shared" si="4"/>
        <v>37851.449117288568</v>
      </c>
      <c r="P10" s="64">
        <f t="shared" si="5"/>
        <v>14674.273370475574</v>
      </c>
      <c r="Q10" s="65">
        <v>800</v>
      </c>
      <c r="R10" s="67">
        <f t="shared" si="6"/>
        <v>4800</v>
      </c>
      <c r="S10" s="67">
        <v>0</v>
      </c>
      <c r="T10" s="94">
        <f t="shared" si="7"/>
        <v>0.12681152536925225</v>
      </c>
      <c r="U10" s="69">
        <f t="shared" si="8"/>
        <v>0.51449214824329514</v>
      </c>
      <c r="V10" s="101">
        <f t="shared" si="9"/>
        <v>2.3787376238053173</v>
      </c>
      <c r="W10" s="68"/>
      <c r="X10" s="94">
        <f t="shared" si="10"/>
        <v>9.7662966040408777E-2</v>
      </c>
      <c r="Y10" s="94">
        <f t="shared" si="11"/>
        <v>0.48534358891445167</v>
      </c>
      <c r="Z10" s="101">
        <f t="shared" si="12"/>
        <v>2.2923625806393182</v>
      </c>
    </row>
    <row r="11" spans="1:26" ht="13.5" thickBot="1" x14ac:dyDescent="0.25">
      <c r="A11" s="70" t="s">
        <v>169</v>
      </c>
      <c r="B11" s="70" t="s">
        <v>116</v>
      </c>
      <c r="C11" s="70" t="s">
        <v>11</v>
      </c>
      <c r="D11" s="71" t="s">
        <v>63</v>
      </c>
      <c r="E11" s="71">
        <v>0</v>
      </c>
      <c r="F11" s="98">
        <v>141</v>
      </c>
      <c r="G11" s="72" t="s">
        <v>64</v>
      </c>
      <c r="H11" s="98">
        <v>0</v>
      </c>
      <c r="I11" s="98">
        <f t="shared" si="0"/>
        <v>0</v>
      </c>
      <c r="J11" s="74">
        <v>900</v>
      </c>
      <c r="K11" s="75">
        <f t="shared" si="1"/>
        <v>0</v>
      </c>
      <c r="L11" s="95">
        <f t="shared" si="2"/>
        <v>61.676282652592704</v>
      </c>
      <c r="M11" s="95">
        <f t="shared" si="3"/>
        <v>0</v>
      </c>
      <c r="N11" s="71">
        <v>12</v>
      </c>
      <c r="O11" s="72">
        <f t="shared" si="4"/>
        <v>0</v>
      </c>
      <c r="P11" s="73">
        <f t="shared" si="5"/>
        <v>0</v>
      </c>
      <c r="Q11" s="74">
        <v>800</v>
      </c>
      <c r="R11" s="76">
        <f t="shared" si="6"/>
        <v>0</v>
      </c>
      <c r="S11" s="76">
        <v>0</v>
      </c>
      <c r="T11" s="95">
        <f t="shared" si="7"/>
        <v>0</v>
      </c>
      <c r="U11" s="78">
        <f t="shared" si="8"/>
        <v>0</v>
      </c>
      <c r="V11" s="102" t="str">
        <f t="shared" si="9"/>
        <v>-</v>
      </c>
      <c r="W11" s="77"/>
      <c r="X11" s="95">
        <f t="shared" si="10"/>
        <v>0</v>
      </c>
      <c r="Y11" s="95">
        <f t="shared" si="11"/>
        <v>0</v>
      </c>
      <c r="Z11" s="102" t="str">
        <f t="shared" si="12"/>
        <v>-</v>
      </c>
    </row>
    <row r="12" spans="1:26" ht="13.5" thickBot="1" x14ac:dyDescent="0.25">
      <c r="A12" s="61" t="s">
        <v>170</v>
      </c>
      <c r="B12" s="61" t="s">
        <v>60</v>
      </c>
      <c r="C12" s="61" t="s">
        <v>37</v>
      </c>
      <c r="D12" s="62" t="s">
        <v>39</v>
      </c>
      <c r="E12" s="62">
        <v>8</v>
      </c>
      <c r="F12" s="97">
        <v>13</v>
      </c>
      <c r="G12" s="63" t="s">
        <v>61</v>
      </c>
      <c r="H12" s="97">
        <v>55</v>
      </c>
      <c r="I12" s="97">
        <f t="shared" si="0"/>
        <v>715</v>
      </c>
      <c r="J12" s="65">
        <v>55</v>
      </c>
      <c r="K12" s="66">
        <f t="shared" si="1"/>
        <v>3025</v>
      </c>
      <c r="L12" s="94">
        <f t="shared" si="2"/>
        <v>4.8898290037184431</v>
      </c>
      <c r="M12" s="94">
        <f t="shared" si="3"/>
        <v>2756.0594047954855</v>
      </c>
      <c r="N12" s="62">
        <v>10</v>
      </c>
      <c r="O12" s="63">
        <f t="shared" si="4"/>
        <v>5976.4576712114294</v>
      </c>
      <c r="P12" s="64">
        <f t="shared" si="5"/>
        <v>2694.4287262172666</v>
      </c>
      <c r="Q12" s="65">
        <v>20</v>
      </c>
      <c r="R12" s="67">
        <f t="shared" si="6"/>
        <v>1100</v>
      </c>
      <c r="S12" s="67">
        <v>0</v>
      </c>
      <c r="T12" s="94">
        <f t="shared" si="7"/>
        <v>0.18405551591182437</v>
      </c>
      <c r="U12" s="69">
        <f t="shared" si="8"/>
        <v>0.63489594254051407</v>
      </c>
      <c r="V12" s="101">
        <f t="shared" si="9"/>
        <v>1.8407833845622936</v>
      </c>
      <c r="W12" s="68"/>
      <c r="X12" s="94">
        <f t="shared" si="10"/>
        <v>0.46115266875751698</v>
      </c>
      <c r="Y12" s="94">
        <f t="shared" si="11"/>
        <v>0.91199309538620676</v>
      </c>
      <c r="Z12" s="101">
        <f t="shared" si="12"/>
        <v>1.1649867923812383</v>
      </c>
    </row>
    <row r="13" spans="1:26" ht="13.5" thickBot="1" x14ac:dyDescent="0.25">
      <c r="A13" s="70" t="s">
        <v>171</v>
      </c>
      <c r="B13" s="70" t="s">
        <v>117</v>
      </c>
      <c r="C13" s="70" t="s">
        <v>133</v>
      </c>
      <c r="D13" s="71" t="s">
        <v>134</v>
      </c>
      <c r="E13" s="71">
        <v>0</v>
      </c>
      <c r="F13" s="98">
        <v>72</v>
      </c>
      <c r="G13" s="72" t="s">
        <v>146</v>
      </c>
      <c r="H13" s="98">
        <v>0</v>
      </c>
      <c r="I13" s="98">
        <f t="shared" si="0"/>
        <v>0</v>
      </c>
      <c r="J13" s="74">
        <v>300</v>
      </c>
      <c r="K13" s="75">
        <f t="shared" si="1"/>
        <v>0</v>
      </c>
      <c r="L13" s="95">
        <f t="shared" si="2"/>
        <v>37.583195771281218</v>
      </c>
      <c r="M13" s="95">
        <f t="shared" si="3"/>
        <v>0</v>
      </c>
      <c r="N13" s="71">
        <v>15</v>
      </c>
      <c r="O13" s="72">
        <f t="shared" si="4"/>
        <v>0</v>
      </c>
      <c r="P13" s="73">
        <f t="shared" si="5"/>
        <v>0</v>
      </c>
      <c r="Q13" s="74">
        <v>100</v>
      </c>
      <c r="R13" s="76">
        <f t="shared" si="6"/>
        <v>0</v>
      </c>
      <c r="S13" s="76">
        <v>0</v>
      </c>
      <c r="T13" s="95">
        <f t="shared" si="7"/>
        <v>0</v>
      </c>
      <c r="U13" s="78">
        <f t="shared" si="8"/>
        <v>0</v>
      </c>
      <c r="V13" s="102" t="str">
        <f t="shared" si="9"/>
        <v>-</v>
      </c>
      <c r="W13" s="77"/>
      <c r="X13" s="95">
        <f t="shared" si="10"/>
        <v>0</v>
      </c>
      <c r="Y13" s="95">
        <f t="shared" si="11"/>
        <v>0</v>
      </c>
      <c r="Z13" s="102" t="str">
        <f t="shared" si="12"/>
        <v>-</v>
      </c>
    </row>
    <row r="14" spans="1:26" ht="13.5" thickBot="1" x14ac:dyDescent="0.25">
      <c r="A14" s="61" t="s">
        <v>221</v>
      </c>
      <c r="B14" s="61" t="s">
        <v>117</v>
      </c>
      <c r="C14" s="61" t="s">
        <v>133</v>
      </c>
      <c r="D14" s="62" t="s">
        <v>134</v>
      </c>
      <c r="E14" s="62">
        <v>0</v>
      </c>
      <c r="F14" s="97">
        <v>72</v>
      </c>
      <c r="G14" s="63" t="s">
        <v>146</v>
      </c>
      <c r="H14" s="97">
        <v>0</v>
      </c>
      <c r="I14" s="97">
        <f t="shared" si="0"/>
        <v>0</v>
      </c>
      <c r="J14" s="65">
        <v>300</v>
      </c>
      <c r="K14" s="66">
        <f t="shared" si="1"/>
        <v>0</v>
      </c>
      <c r="L14" s="94">
        <f t="shared" si="2"/>
        <v>37.583195771281218</v>
      </c>
      <c r="M14" s="94">
        <f t="shared" si="3"/>
        <v>0</v>
      </c>
      <c r="N14" s="62">
        <v>15</v>
      </c>
      <c r="O14" s="63">
        <f t="shared" si="4"/>
        <v>0</v>
      </c>
      <c r="P14" s="64">
        <f t="shared" si="5"/>
        <v>0</v>
      </c>
      <c r="Q14" s="65">
        <v>200</v>
      </c>
      <c r="R14" s="67">
        <f t="shared" si="6"/>
        <v>0</v>
      </c>
      <c r="S14" s="67">
        <v>0</v>
      </c>
      <c r="T14" s="94">
        <f t="shared" si="7"/>
        <v>0</v>
      </c>
      <c r="U14" s="69">
        <f t="shared" si="8"/>
        <v>0</v>
      </c>
      <c r="V14" s="101" t="str">
        <f t="shared" si="9"/>
        <v>-</v>
      </c>
      <c r="W14" s="68"/>
      <c r="X14" s="94">
        <f t="shared" si="10"/>
        <v>0</v>
      </c>
      <c r="Y14" s="94">
        <f t="shared" si="11"/>
        <v>0</v>
      </c>
      <c r="Z14" s="101" t="str">
        <f t="shared" si="12"/>
        <v>-</v>
      </c>
    </row>
    <row r="15" spans="1:26" ht="13.5" thickBot="1" x14ac:dyDescent="0.25">
      <c r="A15" s="70" t="s">
        <v>172</v>
      </c>
      <c r="B15" s="70" t="s">
        <v>79</v>
      </c>
      <c r="C15" s="70" t="s">
        <v>9</v>
      </c>
      <c r="D15" s="71" t="s">
        <v>17</v>
      </c>
      <c r="E15" s="71">
        <v>31</v>
      </c>
      <c r="F15" s="98">
        <v>0.79</v>
      </c>
      <c r="G15" s="72" t="s">
        <v>80</v>
      </c>
      <c r="H15" s="98">
        <v>8218.7999999999993</v>
      </c>
      <c r="I15" s="98">
        <f t="shared" si="0"/>
        <v>6492.8519999999999</v>
      </c>
      <c r="J15" s="74">
        <v>6.06</v>
      </c>
      <c r="K15" s="75">
        <f t="shared" si="1"/>
        <v>49805.927999999993</v>
      </c>
      <c r="L15" s="95">
        <f t="shared" si="2"/>
        <v>0.41237117582378013</v>
      </c>
      <c r="M15" s="95">
        <f t="shared" si="3"/>
        <v>46416.731780139511</v>
      </c>
      <c r="N15" s="71">
        <v>15</v>
      </c>
      <c r="O15" s="72">
        <f t="shared" si="4"/>
        <v>75315.471552455187</v>
      </c>
      <c r="P15" s="73">
        <f t="shared" si="5"/>
        <v>24467.869851576546</v>
      </c>
      <c r="Q15" s="74">
        <v>2.5</v>
      </c>
      <c r="R15" s="76">
        <f t="shared" si="6"/>
        <v>20547</v>
      </c>
      <c r="S15" s="76">
        <v>0</v>
      </c>
      <c r="T15" s="95">
        <f t="shared" si="7"/>
        <v>0.27281247234427219</v>
      </c>
      <c r="U15" s="78">
        <f t="shared" si="8"/>
        <v>0.59768423304931317</v>
      </c>
      <c r="V15" s="102">
        <f t="shared" si="9"/>
        <v>2.1944268650151377</v>
      </c>
      <c r="W15" s="77"/>
      <c r="X15" s="95">
        <f t="shared" si="10"/>
        <v>0.61629743296251571</v>
      </c>
      <c r="Y15" s="95">
        <f t="shared" si="11"/>
        <v>0.94116919366755669</v>
      </c>
      <c r="Z15" s="102">
        <f t="shared" si="12"/>
        <v>1.2668713713886277</v>
      </c>
    </row>
    <row r="16" spans="1:26" ht="13.5" thickBot="1" x14ac:dyDescent="0.25">
      <c r="A16" s="61" t="s">
        <v>173</v>
      </c>
      <c r="B16" s="61" t="s">
        <v>29</v>
      </c>
      <c r="C16" s="61" t="s">
        <v>67</v>
      </c>
      <c r="D16" s="62" t="s">
        <v>68</v>
      </c>
      <c r="E16" s="62">
        <v>1</v>
      </c>
      <c r="F16" s="97">
        <v>1806</v>
      </c>
      <c r="G16" s="63" t="s">
        <v>27</v>
      </c>
      <c r="H16" s="97">
        <v>1</v>
      </c>
      <c r="I16" s="97">
        <f t="shared" si="0"/>
        <v>1806</v>
      </c>
      <c r="J16" s="65">
        <v>6200</v>
      </c>
      <c r="K16" s="66">
        <f t="shared" si="1"/>
        <v>6200</v>
      </c>
      <c r="L16" s="94">
        <f t="shared" si="2"/>
        <v>789.98132248640024</v>
      </c>
      <c r="M16" s="94">
        <f t="shared" si="3"/>
        <v>5410.0186775135999</v>
      </c>
      <c r="N16" s="62">
        <v>12</v>
      </c>
      <c r="O16" s="63">
        <f t="shared" si="4"/>
        <v>17555.14049969778</v>
      </c>
      <c r="P16" s="64">
        <f t="shared" si="5"/>
        <v>6805.7878035641725</v>
      </c>
      <c r="Q16" s="65">
        <v>2500</v>
      </c>
      <c r="R16" s="67">
        <f t="shared" si="6"/>
        <v>2500</v>
      </c>
      <c r="S16" s="67">
        <v>0</v>
      </c>
      <c r="T16" s="94">
        <f t="shared" si="7"/>
        <v>0.14240843017138136</v>
      </c>
      <c r="U16" s="69">
        <f t="shared" si="8"/>
        <v>0.53008905304542431</v>
      </c>
      <c r="V16" s="101">
        <f t="shared" si="9"/>
        <v>2.3087476022144449</v>
      </c>
      <c r="W16" s="68"/>
      <c r="X16" s="94">
        <f t="shared" si="10"/>
        <v>0.30817290682502574</v>
      </c>
      <c r="Y16" s="94">
        <f t="shared" si="11"/>
        <v>0.69585352969906866</v>
      </c>
      <c r="Z16" s="101">
        <f t="shared" si="12"/>
        <v>1.5988759623908679</v>
      </c>
    </row>
    <row r="17" spans="1:26" ht="13.5" thickBot="1" x14ac:dyDescent="0.25">
      <c r="A17" s="70" t="s">
        <v>174</v>
      </c>
      <c r="B17" s="70" t="s">
        <v>50</v>
      </c>
      <c r="C17" s="70" t="s">
        <v>51</v>
      </c>
      <c r="D17" s="71" t="s">
        <v>52</v>
      </c>
      <c r="E17" s="71">
        <v>1</v>
      </c>
      <c r="F17" s="98">
        <v>89</v>
      </c>
      <c r="G17" s="72" t="s">
        <v>53</v>
      </c>
      <c r="H17" s="98">
        <v>2</v>
      </c>
      <c r="I17" s="98">
        <f t="shared" si="0"/>
        <v>178</v>
      </c>
      <c r="J17" s="74">
        <v>119</v>
      </c>
      <c r="K17" s="75">
        <f t="shared" si="1"/>
        <v>238</v>
      </c>
      <c r="L17" s="95">
        <f>PV($B$74,$N17,(-0.05*0.9*$F17))+PV($B$74,$N17,-3500/1000*10)</f>
        <v>176.60949297439205</v>
      </c>
      <c r="M17" s="95">
        <f t="shared" si="3"/>
        <v>0</v>
      </c>
      <c r="N17" s="71">
        <v>5</v>
      </c>
      <c r="O17" s="72">
        <f t="shared" si="4"/>
        <v>805.96051145857666</v>
      </c>
      <c r="P17" s="73">
        <f t="shared" si="5"/>
        <v>670.78085771562723</v>
      </c>
      <c r="Q17" s="74">
        <v>0</v>
      </c>
      <c r="R17" s="76">
        <f t="shared" si="6"/>
        <v>0</v>
      </c>
      <c r="S17" s="76">
        <v>0</v>
      </c>
      <c r="T17" s="95">
        <f t="shared" si="7"/>
        <v>0</v>
      </c>
      <c r="U17" s="78">
        <f t="shared" si="8"/>
        <v>0.83227509062657457</v>
      </c>
      <c r="V17" s="102" t="str">
        <f t="shared" si="9"/>
        <v>-</v>
      </c>
      <c r="W17" s="77"/>
      <c r="X17" s="95">
        <f t="shared" si="10"/>
        <v>0</v>
      </c>
      <c r="Y17" s="95">
        <f t="shared" si="11"/>
        <v>0.83227509062657457</v>
      </c>
      <c r="Z17" s="102" t="str">
        <f t="shared" si="12"/>
        <v>-</v>
      </c>
    </row>
    <row r="18" spans="1:26" ht="13.5" thickBot="1" x14ac:dyDescent="0.25">
      <c r="A18" s="61" t="s">
        <v>175</v>
      </c>
      <c r="B18" s="61" t="s">
        <v>149</v>
      </c>
      <c r="C18" s="61" t="s">
        <v>51</v>
      </c>
      <c r="D18" s="62" t="s">
        <v>52</v>
      </c>
      <c r="E18" s="62">
        <v>0</v>
      </c>
      <c r="F18" s="97">
        <v>30</v>
      </c>
      <c r="G18" s="63" t="s">
        <v>53</v>
      </c>
      <c r="H18" s="97">
        <v>0</v>
      </c>
      <c r="I18" s="97">
        <f t="shared" si="0"/>
        <v>0</v>
      </c>
      <c r="J18" s="65">
        <v>119</v>
      </c>
      <c r="K18" s="66">
        <f t="shared" si="1"/>
        <v>0</v>
      </c>
      <c r="L18" s="94">
        <f>PV($B$74,$N18,(-0.05*0.9*$F18))+PV($B$74,$N18,-1180/1000*10)</f>
        <v>59.541464751012818</v>
      </c>
      <c r="M18" s="94">
        <f t="shared" si="3"/>
        <v>0</v>
      </c>
      <c r="N18" s="62">
        <v>5</v>
      </c>
      <c r="O18" s="63">
        <f t="shared" si="4"/>
        <v>0</v>
      </c>
      <c r="P18" s="64">
        <f t="shared" si="5"/>
        <v>0</v>
      </c>
      <c r="Q18" s="65">
        <v>0</v>
      </c>
      <c r="R18" s="67">
        <f t="shared" si="6"/>
        <v>0</v>
      </c>
      <c r="S18" s="67">
        <v>0</v>
      </c>
      <c r="T18" s="94">
        <f t="shared" si="7"/>
        <v>0</v>
      </c>
      <c r="U18" s="69">
        <f t="shared" si="8"/>
        <v>0</v>
      </c>
      <c r="V18" s="101" t="str">
        <f t="shared" si="9"/>
        <v>-</v>
      </c>
      <c r="W18" s="68"/>
      <c r="X18" s="94">
        <f t="shared" si="10"/>
        <v>0</v>
      </c>
      <c r="Y18" s="94">
        <f t="shared" si="11"/>
        <v>0</v>
      </c>
      <c r="Z18" s="101" t="str">
        <f t="shared" si="12"/>
        <v>-</v>
      </c>
    </row>
    <row r="19" spans="1:26" ht="13.5" thickBot="1" x14ac:dyDescent="0.25">
      <c r="A19" s="70" t="s">
        <v>176</v>
      </c>
      <c r="B19" s="70" t="s">
        <v>150</v>
      </c>
      <c r="C19" s="70" t="s">
        <v>51</v>
      </c>
      <c r="D19" s="71" t="s">
        <v>52</v>
      </c>
      <c r="E19" s="71">
        <v>0</v>
      </c>
      <c r="F19" s="98">
        <v>59</v>
      </c>
      <c r="G19" s="72" t="s">
        <v>53</v>
      </c>
      <c r="H19" s="98">
        <v>0</v>
      </c>
      <c r="I19" s="98">
        <f t="shared" si="0"/>
        <v>0</v>
      </c>
      <c r="J19" s="74">
        <v>119</v>
      </c>
      <c r="K19" s="75">
        <f t="shared" si="1"/>
        <v>0</v>
      </c>
      <c r="L19" s="95">
        <f>PV($B$74,$N19,(-0.05*0.9*$F19))+PV($B$74,$N19,-2300/1000*10)</f>
        <v>116.16245461499879</v>
      </c>
      <c r="M19" s="95">
        <f t="shared" si="3"/>
        <v>0</v>
      </c>
      <c r="N19" s="71">
        <v>5</v>
      </c>
      <c r="O19" s="72">
        <f t="shared" si="4"/>
        <v>0</v>
      </c>
      <c r="P19" s="73">
        <f t="shared" si="5"/>
        <v>0</v>
      </c>
      <c r="Q19" s="74">
        <v>0</v>
      </c>
      <c r="R19" s="76">
        <f t="shared" si="6"/>
        <v>0</v>
      </c>
      <c r="S19" s="76">
        <v>0</v>
      </c>
      <c r="T19" s="95">
        <f t="shared" si="7"/>
        <v>0</v>
      </c>
      <c r="U19" s="78">
        <f t="shared" si="8"/>
        <v>0</v>
      </c>
      <c r="V19" s="102" t="str">
        <f t="shared" si="9"/>
        <v>-</v>
      </c>
      <c r="W19" s="77"/>
      <c r="X19" s="95">
        <f t="shared" si="10"/>
        <v>0</v>
      </c>
      <c r="Y19" s="95">
        <f t="shared" si="11"/>
        <v>0</v>
      </c>
      <c r="Z19" s="102" t="str">
        <f t="shared" si="12"/>
        <v>-</v>
      </c>
    </row>
    <row r="20" spans="1:26" ht="13.5" thickBot="1" x14ac:dyDescent="0.25">
      <c r="A20" s="61" t="s">
        <v>220</v>
      </c>
      <c r="B20" s="61" t="s">
        <v>57</v>
      </c>
      <c r="C20" s="61" t="s">
        <v>58</v>
      </c>
      <c r="D20" s="62" t="s">
        <v>59</v>
      </c>
      <c r="E20" s="62">
        <v>0</v>
      </c>
      <c r="F20" s="97">
        <v>35</v>
      </c>
      <c r="G20" s="63" t="s">
        <v>53</v>
      </c>
      <c r="H20" s="97">
        <v>0</v>
      </c>
      <c r="I20" s="97">
        <f t="shared" si="0"/>
        <v>0</v>
      </c>
      <c r="J20" s="65">
        <v>44</v>
      </c>
      <c r="K20" s="66">
        <f t="shared" si="1"/>
        <v>0</v>
      </c>
      <c r="L20" s="94">
        <f>PV($B$74,$N20,(-0.05*0.9*$F20))+PV($B$74,$N20,-900/1000*10)</f>
        <v>88.393062759525691</v>
      </c>
      <c r="M20" s="94">
        <f t="shared" si="3"/>
        <v>0</v>
      </c>
      <c r="N20" s="62">
        <v>10</v>
      </c>
      <c r="O20" s="63">
        <f t="shared" si="4"/>
        <v>0</v>
      </c>
      <c r="P20" s="64">
        <f t="shared" si="5"/>
        <v>0</v>
      </c>
      <c r="Q20" s="65">
        <v>0</v>
      </c>
      <c r="R20" s="67">
        <f t="shared" si="6"/>
        <v>0</v>
      </c>
      <c r="S20" s="67">
        <v>0</v>
      </c>
      <c r="T20" s="94">
        <f t="shared" si="7"/>
        <v>0</v>
      </c>
      <c r="U20" s="69">
        <f t="shared" si="8"/>
        <v>0</v>
      </c>
      <c r="V20" s="101" t="str">
        <f t="shared" si="9"/>
        <v>-</v>
      </c>
      <c r="W20" s="68"/>
      <c r="X20" s="94">
        <f t="shared" si="10"/>
        <v>0</v>
      </c>
      <c r="Y20" s="94">
        <f t="shared" si="11"/>
        <v>0</v>
      </c>
      <c r="Z20" s="101" t="str">
        <f t="shared" si="12"/>
        <v>-</v>
      </c>
    </row>
    <row r="21" spans="1:26" ht="13.5" thickBot="1" x14ac:dyDescent="0.25">
      <c r="A21" s="70" t="s">
        <v>177</v>
      </c>
      <c r="B21" s="70" t="s">
        <v>118</v>
      </c>
      <c r="C21" s="70" t="s">
        <v>11</v>
      </c>
      <c r="D21" s="71" t="s">
        <v>76</v>
      </c>
      <c r="E21" s="71">
        <v>0</v>
      </c>
      <c r="F21" s="98">
        <v>388</v>
      </c>
      <c r="G21" s="72" t="s">
        <v>77</v>
      </c>
      <c r="H21" s="98">
        <v>0</v>
      </c>
      <c r="I21" s="98">
        <f t="shared" si="0"/>
        <v>0</v>
      </c>
      <c r="J21" s="74">
        <v>1400</v>
      </c>
      <c r="K21" s="75">
        <f t="shared" si="1"/>
        <v>0</v>
      </c>
      <c r="L21" s="95">
        <f t="shared" ref="L21:L40" si="13">PV($B$74,$N21,(-0.05*0.9*$F21))</f>
        <v>169.7191324057161</v>
      </c>
      <c r="M21" s="95">
        <f t="shared" si="3"/>
        <v>0</v>
      </c>
      <c r="N21" s="71">
        <v>12</v>
      </c>
      <c r="O21" s="72">
        <f t="shared" si="4"/>
        <v>0</v>
      </c>
      <c r="P21" s="73">
        <f t="shared" si="5"/>
        <v>0</v>
      </c>
      <c r="Q21" s="74">
        <v>750</v>
      </c>
      <c r="R21" s="76">
        <f t="shared" si="6"/>
        <v>0</v>
      </c>
      <c r="S21" s="76">
        <v>0</v>
      </c>
      <c r="T21" s="95">
        <f t="shared" si="7"/>
        <v>0</v>
      </c>
      <c r="U21" s="78">
        <f t="shared" si="8"/>
        <v>0</v>
      </c>
      <c r="V21" s="102" t="str">
        <f t="shared" si="9"/>
        <v>-</v>
      </c>
      <c r="W21" s="77"/>
      <c r="X21" s="95">
        <f t="shared" si="10"/>
        <v>0</v>
      </c>
      <c r="Y21" s="95">
        <f t="shared" si="11"/>
        <v>0</v>
      </c>
      <c r="Z21" s="102" t="str">
        <f t="shared" si="12"/>
        <v>-</v>
      </c>
    </row>
    <row r="22" spans="1:26" ht="13.5" thickBot="1" x14ac:dyDescent="0.25">
      <c r="A22" s="61" t="s">
        <v>178</v>
      </c>
      <c r="B22" s="61" t="s">
        <v>119</v>
      </c>
      <c r="C22" s="61" t="s">
        <v>11</v>
      </c>
      <c r="D22" s="62" t="s">
        <v>76</v>
      </c>
      <c r="E22" s="62">
        <v>0</v>
      </c>
      <c r="F22" s="97">
        <v>231</v>
      </c>
      <c r="G22" s="63" t="s">
        <v>77</v>
      </c>
      <c r="H22" s="97">
        <v>0</v>
      </c>
      <c r="I22" s="97">
        <f t="shared" si="0"/>
        <v>0</v>
      </c>
      <c r="J22" s="65">
        <v>1400</v>
      </c>
      <c r="K22" s="66">
        <f t="shared" si="1"/>
        <v>0</v>
      </c>
      <c r="L22" s="94">
        <f t="shared" si="13"/>
        <v>101.04412264360933</v>
      </c>
      <c r="M22" s="94">
        <f t="shared" si="3"/>
        <v>0</v>
      </c>
      <c r="N22" s="62">
        <v>12</v>
      </c>
      <c r="O22" s="63">
        <f t="shared" si="4"/>
        <v>0</v>
      </c>
      <c r="P22" s="64">
        <f t="shared" si="5"/>
        <v>0</v>
      </c>
      <c r="Q22" s="65">
        <v>750</v>
      </c>
      <c r="R22" s="67">
        <f t="shared" si="6"/>
        <v>0</v>
      </c>
      <c r="S22" s="67">
        <v>0</v>
      </c>
      <c r="T22" s="94">
        <f t="shared" si="7"/>
        <v>0</v>
      </c>
      <c r="U22" s="69">
        <f t="shared" si="8"/>
        <v>0</v>
      </c>
      <c r="V22" s="101" t="str">
        <f t="shared" si="9"/>
        <v>-</v>
      </c>
      <c r="W22" s="68"/>
      <c r="X22" s="94">
        <f t="shared" si="10"/>
        <v>0</v>
      </c>
      <c r="Y22" s="94">
        <f t="shared" si="11"/>
        <v>0</v>
      </c>
      <c r="Z22" s="101" t="str">
        <f t="shared" si="12"/>
        <v>-</v>
      </c>
    </row>
    <row r="23" spans="1:26" ht="13.5" thickBot="1" x14ac:dyDescent="0.25">
      <c r="A23" s="70" t="s">
        <v>179</v>
      </c>
      <c r="B23" s="70" t="s">
        <v>75</v>
      </c>
      <c r="C23" s="70" t="s">
        <v>11</v>
      </c>
      <c r="D23" s="71" t="s">
        <v>76</v>
      </c>
      <c r="E23" s="71">
        <v>30</v>
      </c>
      <c r="F23" s="98">
        <v>685</v>
      </c>
      <c r="G23" s="72" t="s">
        <v>77</v>
      </c>
      <c r="H23" s="98">
        <v>51</v>
      </c>
      <c r="I23" s="98">
        <f t="shared" si="0"/>
        <v>34935</v>
      </c>
      <c r="J23" s="74">
        <v>1400</v>
      </c>
      <c r="K23" s="75">
        <f t="shared" si="1"/>
        <v>71400</v>
      </c>
      <c r="L23" s="95">
        <f t="shared" si="13"/>
        <v>299.63300437607097</v>
      </c>
      <c r="M23" s="95">
        <f t="shared" si="3"/>
        <v>56118.716776820387</v>
      </c>
      <c r="N23" s="71">
        <v>12</v>
      </c>
      <c r="O23" s="72">
        <f t="shared" si="4"/>
        <v>339584.07162621367</v>
      </c>
      <c r="P23" s="73">
        <f t="shared" si="5"/>
        <v>131650.16440615413</v>
      </c>
      <c r="Q23" s="74">
        <v>750</v>
      </c>
      <c r="R23" s="76">
        <f t="shared" si="6"/>
        <v>38250</v>
      </c>
      <c r="S23" s="76">
        <v>0</v>
      </c>
      <c r="T23" s="95">
        <f t="shared" si="7"/>
        <v>0.11263779192241521</v>
      </c>
      <c r="U23" s="78">
        <f t="shared" si="8"/>
        <v>0.50031841479645811</v>
      </c>
      <c r="V23" s="102">
        <f t="shared" si="9"/>
        <v>2.4461258949995637</v>
      </c>
      <c r="W23" s="77"/>
      <c r="X23" s="95">
        <f t="shared" si="10"/>
        <v>0.1652572115885084</v>
      </c>
      <c r="Y23" s="95">
        <f t="shared" si="11"/>
        <v>0.5529378344625514</v>
      </c>
      <c r="Z23" s="102">
        <f t="shared" si="12"/>
        <v>2.0121312245925402</v>
      </c>
    </row>
    <row r="24" spans="1:26" ht="13.5" thickBot="1" x14ac:dyDescent="0.25">
      <c r="A24" s="61" t="s">
        <v>180</v>
      </c>
      <c r="B24" s="61" t="s">
        <v>120</v>
      </c>
      <c r="C24" s="61" t="s">
        <v>11</v>
      </c>
      <c r="D24" s="62" t="s">
        <v>76</v>
      </c>
      <c r="E24" s="62">
        <v>0</v>
      </c>
      <c r="F24" s="97">
        <v>149</v>
      </c>
      <c r="G24" s="63" t="s">
        <v>77</v>
      </c>
      <c r="H24" s="97">
        <v>0</v>
      </c>
      <c r="I24" s="97">
        <f t="shared" si="0"/>
        <v>0</v>
      </c>
      <c r="J24" s="65">
        <v>1400</v>
      </c>
      <c r="K24" s="66">
        <f t="shared" si="1"/>
        <v>0</v>
      </c>
      <c r="L24" s="94">
        <f t="shared" si="13"/>
        <v>65.175646207349743</v>
      </c>
      <c r="M24" s="94">
        <f t="shared" si="3"/>
        <v>0</v>
      </c>
      <c r="N24" s="62">
        <v>12</v>
      </c>
      <c r="O24" s="63">
        <f t="shared" si="4"/>
        <v>0</v>
      </c>
      <c r="P24" s="64">
        <f t="shared" si="5"/>
        <v>0</v>
      </c>
      <c r="Q24" s="65">
        <v>750</v>
      </c>
      <c r="R24" s="67">
        <f t="shared" si="6"/>
        <v>0</v>
      </c>
      <c r="S24" s="67">
        <v>0</v>
      </c>
      <c r="T24" s="94">
        <f t="shared" si="7"/>
        <v>0</v>
      </c>
      <c r="U24" s="69">
        <f t="shared" si="8"/>
        <v>0</v>
      </c>
      <c r="V24" s="101" t="str">
        <f t="shared" si="9"/>
        <v>-</v>
      </c>
      <c r="W24" s="68"/>
      <c r="X24" s="94">
        <f t="shared" si="10"/>
        <v>0</v>
      </c>
      <c r="Y24" s="94">
        <f t="shared" si="11"/>
        <v>0</v>
      </c>
      <c r="Z24" s="101" t="str">
        <f t="shared" si="12"/>
        <v>-</v>
      </c>
    </row>
    <row r="25" spans="1:26" ht="13.5" thickBot="1" x14ac:dyDescent="0.25">
      <c r="A25" s="70" t="s">
        <v>181</v>
      </c>
      <c r="B25" s="70" t="s">
        <v>38</v>
      </c>
      <c r="C25" s="70" t="s">
        <v>81</v>
      </c>
      <c r="D25" s="71" t="s">
        <v>82</v>
      </c>
      <c r="E25" s="71">
        <v>0</v>
      </c>
      <c r="F25" s="98">
        <v>77</v>
      </c>
      <c r="G25" s="72" t="s">
        <v>64</v>
      </c>
      <c r="H25" s="98">
        <v>0</v>
      </c>
      <c r="I25" s="98">
        <f t="shared" si="0"/>
        <v>0</v>
      </c>
      <c r="J25" s="74">
        <v>1800</v>
      </c>
      <c r="K25" s="75">
        <f t="shared" si="1"/>
        <v>0</v>
      </c>
      <c r="L25" s="95">
        <f t="shared" si="13"/>
        <v>42.222572458476435</v>
      </c>
      <c r="M25" s="95">
        <f t="shared" si="3"/>
        <v>0</v>
      </c>
      <c r="N25" s="71">
        <v>16</v>
      </c>
      <c r="O25" s="72">
        <f t="shared" si="4"/>
        <v>0</v>
      </c>
      <c r="P25" s="73">
        <f t="shared" si="5"/>
        <v>0</v>
      </c>
      <c r="Q25" s="74">
        <v>450</v>
      </c>
      <c r="R25" s="76">
        <f t="shared" si="6"/>
        <v>0</v>
      </c>
      <c r="S25" s="76">
        <v>0</v>
      </c>
      <c r="T25" s="95">
        <f t="shared" si="7"/>
        <v>0</v>
      </c>
      <c r="U25" s="78">
        <f t="shared" si="8"/>
        <v>0</v>
      </c>
      <c r="V25" s="102" t="str">
        <f t="shared" si="9"/>
        <v>-</v>
      </c>
      <c r="W25" s="77"/>
      <c r="X25" s="95">
        <f t="shared" si="10"/>
        <v>0</v>
      </c>
      <c r="Y25" s="95">
        <f t="shared" si="11"/>
        <v>0</v>
      </c>
      <c r="Z25" s="102" t="str">
        <f t="shared" si="12"/>
        <v>-</v>
      </c>
    </row>
    <row r="26" spans="1:26" ht="13.5" thickBot="1" x14ac:dyDescent="0.25">
      <c r="A26" s="61" t="s">
        <v>182</v>
      </c>
      <c r="B26" s="61" t="s">
        <v>121</v>
      </c>
      <c r="C26" s="61" t="s">
        <v>11</v>
      </c>
      <c r="D26" s="62" t="s">
        <v>73</v>
      </c>
      <c r="E26" s="62">
        <v>0</v>
      </c>
      <c r="F26" s="97">
        <v>155</v>
      </c>
      <c r="G26" s="63" t="s">
        <v>74</v>
      </c>
      <c r="H26" s="97">
        <v>0</v>
      </c>
      <c r="I26" s="97">
        <f t="shared" si="0"/>
        <v>0</v>
      </c>
      <c r="J26" s="65">
        <v>1048</v>
      </c>
      <c r="K26" s="66">
        <f t="shared" si="1"/>
        <v>0</v>
      </c>
      <c r="L26" s="94">
        <f t="shared" si="13"/>
        <v>67.800168873417505</v>
      </c>
      <c r="M26" s="94">
        <f t="shared" si="3"/>
        <v>0</v>
      </c>
      <c r="N26" s="62">
        <v>12</v>
      </c>
      <c r="O26" s="63">
        <f t="shared" si="4"/>
        <v>0</v>
      </c>
      <c r="P26" s="64">
        <f t="shared" si="5"/>
        <v>0</v>
      </c>
      <c r="Q26" s="65">
        <v>500</v>
      </c>
      <c r="R26" s="67">
        <f t="shared" si="6"/>
        <v>0</v>
      </c>
      <c r="S26" s="67">
        <v>0</v>
      </c>
      <c r="T26" s="94">
        <f t="shared" si="7"/>
        <v>0</v>
      </c>
      <c r="U26" s="69">
        <f t="shared" si="8"/>
        <v>0</v>
      </c>
      <c r="V26" s="101" t="str">
        <f t="shared" si="9"/>
        <v>-</v>
      </c>
      <c r="W26" s="68"/>
      <c r="X26" s="94">
        <f t="shared" si="10"/>
        <v>0</v>
      </c>
      <c r="Y26" s="94">
        <f t="shared" si="11"/>
        <v>0</v>
      </c>
      <c r="Z26" s="101" t="str">
        <f t="shared" si="12"/>
        <v>-</v>
      </c>
    </row>
    <row r="27" spans="1:26" ht="13.5" thickBot="1" x14ac:dyDescent="0.25">
      <c r="A27" s="70" t="s">
        <v>183</v>
      </c>
      <c r="B27" s="70" t="s">
        <v>122</v>
      </c>
      <c r="C27" s="70" t="s">
        <v>11</v>
      </c>
      <c r="D27" s="71" t="s">
        <v>73</v>
      </c>
      <c r="E27" s="71">
        <v>0</v>
      </c>
      <c r="F27" s="98">
        <v>92</v>
      </c>
      <c r="G27" s="72" t="s">
        <v>74</v>
      </c>
      <c r="H27" s="98">
        <v>0</v>
      </c>
      <c r="I27" s="98">
        <f t="shared" si="0"/>
        <v>0</v>
      </c>
      <c r="J27" s="74">
        <v>1048</v>
      </c>
      <c r="K27" s="75">
        <f t="shared" si="1"/>
        <v>0</v>
      </c>
      <c r="L27" s="95">
        <f t="shared" si="13"/>
        <v>40.24268087970588</v>
      </c>
      <c r="M27" s="95">
        <f t="shared" si="3"/>
        <v>0</v>
      </c>
      <c r="N27" s="71">
        <v>12</v>
      </c>
      <c r="O27" s="72">
        <f t="shared" si="4"/>
        <v>0</v>
      </c>
      <c r="P27" s="73">
        <f t="shared" si="5"/>
        <v>0</v>
      </c>
      <c r="Q27" s="74">
        <v>500</v>
      </c>
      <c r="R27" s="76">
        <f t="shared" si="6"/>
        <v>0</v>
      </c>
      <c r="S27" s="76">
        <v>0</v>
      </c>
      <c r="T27" s="95">
        <f t="shared" si="7"/>
        <v>0</v>
      </c>
      <c r="U27" s="78">
        <f t="shared" si="8"/>
        <v>0</v>
      </c>
      <c r="V27" s="102" t="str">
        <f t="shared" si="9"/>
        <v>-</v>
      </c>
      <c r="W27" s="77"/>
      <c r="X27" s="95">
        <f t="shared" si="10"/>
        <v>0</v>
      </c>
      <c r="Y27" s="95">
        <f t="shared" si="11"/>
        <v>0</v>
      </c>
      <c r="Z27" s="102" t="str">
        <f t="shared" si="12"/>
        <v>-</v>
      </c>
    </row>
    <row r="28" spans="1:26" ht="13.5" thickBot="1" x14ac:dyDescent="0.25">
      <c r="A28" s="61" t="s">
        <v>184</v>
      </c>
      <c r="B28" s="61" t="s">
        <v>72</v>
      </c>
      <c r="C28" s="61" t="s">
        <v>11</v>
      </c>
      <c r="D28" s="62" t="s">
        <v>73</v>
      </c>
      <c r="E28" s="62">
        <v>0</v>
      </c>
      <c r="F28" s="97">
        <v>273</v>
      </c>
      <c r="G28" s="63" t="s">
        <v>74</v>
      </c>
      <c r="H28" s="97">
        <v>0</v>
      </c>
      <c r="I28" s="97">
        <f t="shared" si="0"/>
        <v>0</v>
      </c>
      <c r="J28" s="65">
        <v>1048</v>
      </c>
      <c r="K28" s="66">
        <f t="shared" si="1"/>
        <v>0</v>
      </c>
      <c r="L28" s="94">
        <f t="shared" si="13"/>
        <v>119.41578130608376</v>
      </c>
      <c r="M28" s="94">
        <f t="shared" si="3"/>
        <v>0</v>
      </c>
      <c r="N28" s="62">
        <v>12</v>
      </c>
      <c r="O28" s="63">
        <f t="shared" si="4"/>
        <v>0</v>
      </c>
      <c r="P28" s="64">
        <f t="shared" si="5"/>
        <v>0</v>
      </c>
      <c r="Q28" s="65">
        <v>500</v>
      </c>
      <c r="R28" s="67">
        <f t="shared" si="6"/>
        <v>0</v>
      </c>
      <c r="S28" s="67">
        <v>0</v>
      </c>
      <c r="T28" s="94">
        <f t="shared" si="7"/>
        <v>0</v>
      </c>
      <c r="U28" s="69">
        <f t="shared" si="8"/>
        <v>0</v>
      </c>
      <c r="V28" s="101" t="str">
        <f t="shared" si="9"/>
        <v>-</v>
      </c>
      <c r="W28" s="68"/>
      <c r="X28" s="94">
        <f t="shared" si="10"/>
        <v>0</v>
      </c>
      <c r="Y28" s="94">
        <f t="shared" si="11"/>
        <v>0</v>
      </c>
      <c r="Z28" s="101" t="str">
        <f t="shared" si="12"/>
        <v>-</v>
      </c>
    </row>
    <row r="29" spans="1:26" ht="13.5" thickBot="1" x14ac:dyDescent="0.25">
      <c r="A29" s="70" t="s">
        <v>185</v>
      </c>
      <c r="B29" s="70" t="s">
        <v>123</v>
      </c>
      <c r="C29" s="70" t="s">
        <v>11</v>
      </c>
      <c r="D29" s="71" t="s">
        <v>73</v>
      </c>
      <c r="E29" s="71">
        <v>0</v>
      </c>
      <c r="F29" s="98">
        <v>59</v>
      </c>
      <c r="G29" s="72" t="s">
        <v>74</v>
      </c>
      <c r="H29" s="98">
        <v>0</v>
      </c>
      <c r="I29" s="98">
        <f t="shared" si="0"/>
        <v>0</v>
      </c>
      <c r="J29" s="74">
        <v>1048</v>
      </c>
      <c r="K29" s="75">
        <f t="shared" si="1"/>
        <v>0</v>
      </c>
      <c r="L29" s="95">
        <f t="shared" si="13"/>
        <v>25.80780621633312</v>
      </c>
      <c r="M29" s="95">
        <f t="shared" si="3"/>
        <v>0</v>
      </c>
      <c r="N29" s="71">
        <v>12</v>
      </c>
      <c r="O29" s="72">
        <f t="shared" si="4"/>
        <v>0</v>
      </c>
      <c r="P29" s="73">
        <f t="shared" si="5"/>
        <v>0</v>
      </c>
      <c r="Q29" s="74">
        <v>500</v>
      </c>
      <c r="R29" s="76">
        <f t="shared" si="6"/>
        <v>0</v>
      </c>
      <c r="S29" s="76">
        <v>0</v>
      </c>
      <c r="T29" s="95">
        <f t="shared" si="7"/>
        <v>0</v>
      </c>
      <c r="U29" s="78">
        <f t="shared" si="8"/>
        <v>0</v>
      </c>
      <c r="V29" s="102" t="str">
        <f t="shared" si="9"/>
        <v>-</v>
      </c>
      <c r="W29" s="77"/>
      <c r="X29" s="95">
        <f t="shared" si="10"/>
        <v>0</v>
      </c>
      <c r="Y29" s="95">
        <f t="shared" si="11"/>
        <v>0</v>
      </c>
      <c r="Z29" s="102" t="str">
        <f t="shared" si="12"/>
        <v>-</v>
      </c>
    </row>
    <row r="30" spans="1:26" ht="13.5" thickBot="1" x14ac:dyDescent="0.25">
      <c r="A30" s="61" t="s">
        <v>186</v>
      </c>
      <c r="B30" s="61" t="s">
        <v>124</v>
      </c>
      <c r="C30" s="61" t="s">
        <v>135</v>
      </c>
      <c r="D30" s="62" t="s">
        <v>15</v>
      </c>
      <c r="E30" s="62">
        <v>26</v>
      </c>
      <c r="F30" s="97">
        <v>1.1000000000000001</v>
      </c>
      <c r="G30" s="63" t="s">
        <v>80</v>
      </c>
      <c r="H30" s="97">
        <v>4065</v>
      </c>
      <c r="I30" s="97">
        <f t="shared" si="0"/>
        <v>4471.5</v>
      </c>
      <c r="J30" s="65">
        <v>5.23</v>
      </c>
      <c r="K30" s="66">
        <f t="shared" si="1"/>
        <v>21259.95</v>
      </c>
      <c r="L30" s="94">
        <f t="shared" si="13"/>
        <v>0.65833480478963158</v>
      </c>
      <c r="M30" s="94">
        <f t="shared" si="3"/>
        <v>18583.81901853015</v>
      </c>
      <c r="N30" s="62">
        <v>18</v>
      </c>
      <c r="O30" s="63">
        <f t="shared" si="4"/>
        <v>59469.577365996709</v>
      </c>
      <c r="P30" s="64">
        <f t="shared" si="5"/>
        <v>16850.542726266445</v>
      </c>
      <c r="Q30" s="65">
        <v>5</v>
      </c>
      <c r="R30" s="67">
        <f t="shared" si="6"/>
        <v>20325</v>
      </c>
      <c r="S30" s="67">
        <v>0</v>
      </c>
      <c r="T30" s="94">
        <f t="shared" si="7"/>
        <v>0.34177138799747636</v>
      </c>
      <c r="U30" s="69">
        <f t="shared" si="8"/>
        <v>0.62511866357272172</v>
      </c>
      <c r="V30" s="101">
        <f t="shared" si="9"/>
        <v>2.249190911859035</v>
      </c>
      <c r="W30" s="68"/>
      <c r="X30" s="94">
        <f t="shared" si="10"/>
        <v>0.31249287184536034</v>
      </c>
      <c r="Y30" s="94">
        <f t="shared" si="11"/>
        <v>0.59584014742060565</v>
      </c>
      <c r="Z30" s="101">
        <f t="shared" si="12"/>
        <v>2.1451928355858829</v>
      </c>
    </row>
    <row r="31" spans="1:26" ht="13.5" thickBot="1" x14ac:dyDescent="0.25">
      <c r="A31" s="70" t="s">
        <v>220</v>
      </c>
      <c r="B31" s="70" t="s">
        <v>125</v>
      </c>
      <c r="C31" s="70" t="s">
        <v>136</v>
      </c>
      <c r="D31" s="71" t="s">
        <v>14</v>
      </c>
      <c r="E31" s="71">
        <v>0</v>
      </c>
      <c r="F31" s="98">
        <v>0.61</v>
      </c>
      <c r="G31" s="72" t="s">
        <v>80</v>
      </c>
      <c r="H31" s="98">
        <v>0</v>
      </c>
      <c r="I31" s="98">
        <f t="shared" si="0"/>
        <v>0</v>
      </c>
      <c r="J31" s="74">
        <v>3.26</v>
      </c>
      <c r="K31" s="75">
        <f t="shared" si="1"/>
        <v>0</v>
      </c>
      <c r="L31" s="95">
        <f t="shared" si="13"/>
        <v>0.36507657356515927</v>
      </c>
      <c r="M31" s="95">
        <f t="shared" si="3"/>
        <v>0</v>
      </c>
      <c r="N31" s="71">
        <v>18</v>
      </c>
      <c r="O31" s="72">
        <f t="shared" si="4"/>
        <v>0</v>
      </c>
      <c r="P31" s="73">
        <f t="shared" si="5"/>
        <v>0</v>
      </c>
      <c r="Q31" s="74">
        <v>1.5</v>
      </c>
      <c r="R31" s="76">
        <f t="shared" si="6"/>
        <v>0</v>
      </c>
      <c r="S31" s="76">
        <v>0</v>
      </c>
      <c r="T31" s="95">
        <f t="shared" si="7"/>
        <v>0</v>
      </c>
      <c r="U31" s="78">
        <f t="shared" si="8"/>
        <v>0</v>
      </c>
      <c r="V31" s="102" t="str">
        <f t="shared" si="9"/>
        <v>-</v>
      </c>
      <c r="W31" s="77"/>
      <c r="X31" s="95">
        <f t="shared" si="10"/>
        <v>0</v>
      </c>
      <c r="Y31" s="95">
        <f t="shared" si="11"/>
        <v>0</v>
      </c>
      <c r="Z31" s="102" t="str">
        <f t="shared" si="12"/>
        <v>-</v>
      </c>
    </row>
    <row r="32" spans="1:26" ht="13.5" thickBot="1" x14ac:dyDescent="0.25">
      <c r="A32" s="61" t="s">
        <v>187</v>
      </c>
      <c r="B32" s="61" t="s">
        <v>94</v>
      </c>
      <c r="C32" s="61" t="s">
        <v>36</v>
      </c>
      <c r="D32" s="62" t="s">
        <v>95</v>
      </c>
      <c r="E32" s="62">
        <v>2</v>
      </c>
      <c r="F32" s="97">
        <v>0.31</v>
      </c>
      <c r="G32" s="63" t="s">
        <v>96</v>
      </c>
      <c r="H32" s="97">
        <v>23975</v>
      </c>
      <c r="I32" s="97">
        <f t="shared" si="0"/>
        <v>7432.25</v>
      </c>
      <c r="J32" s="65">
        <v>1.35</v>
      </c>
      <c r="K32" s="66">
        <f t="shared" si="1"/>
        <v>32366.250000000004</v>
      </c>
      <c r="L32" s="94">
        <f t="shared" si="13"/>
        <v>0.25981399800736749</v>
      </c>
      <c r="M32" s="94">
        <f t="shared" si="3"/>
        <v>26137.209397773368</v>
      </c>
      <c r="N32" s="62">
        <v>30</v>
      </c>
      <c r="O32" s="63">
        <f t="shared" si="4"/>
        <v>138423.12449392522</v>
      </c>
      <c r="P32" s="64">
        <f t="shared" si="5"/>
        <v>28007.927133466124</v>
      </c>
      <c r="Q32" s="65">
        <v>2</v>
      </c>
      <c r="R32" s="67">
        <f t="shared" si="6"/>
        <v>47950</v>
      </c>
      <c r="S32" s="67">
        <v>0</v>
      </c>
      <c r="T32" s="94">
        <f t="shared" si="7"/>
        <v>0.34640165922641281</v>
      </c>
      <c r="U32" s="69">
        <f t="shared" si="8"/>
        <v>0.54873726778793797</v>
      </c>
      <c r="V32" s="101">
        <f t="shared" si="9"/>
        <v>3.4107016341187264</v>
      </c>
      <c r="W32" s="68"/>
      <c r="X32" s="94">
        <f t="shared" si="10"/>
        <v>0.18882111997782866</v>
      </c>
      <c r="Y32" s="94">
        <f t="shared" si="11"/>
        <v>0.39115672853935385</v>
      </c>
      <c r="Z32" s="101">
        <f t="shared" si="12"/>
        <v>4.3497539927861961</v>
      </c>
    </row>
    <row r="33" spans="1:26" ht="13.5" thickBot="1" x14ac:dyDescent="0.25">
      <c r="A33" s="70" t="s">
        <v>188</v>
      </c>
      <c r="B33" s="70" t="s">
        <v>108</v>
      </c>
      <c r="C33" s="70" t="s">
        <v>36</v>
      </c>
      <c r="D33" s="71" t="s">
        <v>109</v>
      </c>
      <c r="E33" s="71">
        <v>8</v>
      </c>
      <c r="F33" s="98">
        <v>0.32</v>
      </c>
      <c r="G33" s="72" t="s">
        <v>96</v>
      </c>
      <c r="H33" s="98">
        <v>35804</v>
      </c>
      <c r="I33" s="98">
        <f t="shared" si="0"/>
        <v>11457.28</v>
      </c>
      <c r="J33" s="74">
        <v>1.63</v>
      </c>
      <c r="K33" s="75">
        <f t="shared" si="1"/>
        <v>58360.52</v>
      </c>
      <c r="L33" s="95">
        <f t="shared" si="13"/>
        <v>0.26819509471728253</v>
      </c>
      <c r="M33" s="95">
        <f t="shared" si="3"/>
        <v>48758.062828742419</v>
      </c>
      <c r="N33" s="71">
        <v>30</v>
      </c>
      <c r="O33" s="72">
        <f t="shared" si="4"/>
        <v>213387.93713905741</v>
      </c>
      <c r="P33" s="73">
        <f t="shared" si="5"/>
        <v>43175.978120719672</v>
      </c>
      <c r="Q33" s="74">
        <v>2.5</v>
      </c>
      <c r="R33" s="76">
        <f t="shared" si="6"/>
        <v>89510</v>
      </c>
      <c r="S33" s="76">
        <v>-31951.320000000007</v>
      </c>
      <c r="T33" s="95">
        <f t="shared" si="7"/>
        <v>0.41947075921948429</v>
      </c>
      <c r="U33" s="78">
        <f t="shared" si="8"/>
        <v>0.62180636778100951</v>
      </c>
      <c r="V33" s="102">
        <f t="shared" si="9"/>
        <v>3.0099066090704727</v>
      </c>
      <c r="W33" s="77"/>
      <c r="X33" s="95">
        <f t="shared" si="10"/>
        <v>0.22849493501110377</v>
      </c>
      <c r="Y33" s="95">
        <f t="shared" si="11"/>
        <v>0.43083054357262901</v>
      </c>
      <c r="Z33" s="102">
        <f t="shared" si="12"/>
        <v>3.9491989766097322</v>
      </c>
    </row>
    <row r="34" spans="1:26" ht="13.5" thickBot="1" x14ac:dyDescent="0.25">
      <c r="A34" s="61" t="s">
        <v>189</v>
      </c>
      <c r="B34" s="61" t="s">
        <v>151</v>
      </c>
      <c r="C34" s="61" t="s">
        <v>137</v>
      </c>
      <c r="D34" s="62" t="s">
        <v>138</v>
      </c>
      <c r="E34" s="62">
        <v>4</v>
      </c>
      <c r="F34" s="97">
        <v>5.6000000000000001E-2</v>
      </c>
      <c r="G34" s="63" t="s">
        <v>105</v>
      </c>
      <c r="H34" s="97">
        <v>16231</v>
      </c>
      <c r="I34" s="97">
        <f t="shared" si="0"/>
        <v>908.93600000000004</v>
      </c>
      <c r="J34" s="65">
        <v>1.08</v>
      </c>
      <c r="K34" s="66">
        <f t="shared" si="1"/>
        <v>17529.48</v>
      </c>
      <c r="L34" s="94">
        <f t="shared" si="13"/>
        <v>5.7655086724650952E-2</v>
      </c>
      <c r="M34" s="94">
        <f t="shared" si="3"/>
        <v>16593.68028737219</v>
      </c>
      <c r="N34" s="62">
        <v>45</v>
      </c>
      <c r="O34" s="63">
        <f t="shared" si="4"/>
        <v>20795.549169506878</v>
      </c>
      <c r="P34" s="64">
        <f t="shared" si="5"/>
        <v>3425.2633128573671</v>
      </c>
      <c r="Q34" s="65">
        <v>0.75</v>
      </c>
      <c r="R34" s="67">
        <f t="shared" si="6"/>
        <v>12173.25</v>
      </c>
      <c r="S34" s="67">
        <v>2401.880000000001</v>
      </c>
      <c r="T34" s="94">
        <f t="shared" si="7"/>
        <v>0.58537766426721694</v>
      </c>
      <c r="U34" s="69">
        <f t="shared" si="8"/>
        <v>0.75008903038395947</v>
      </c>
      <c r="V34" s="101">
        <f t="shared" si="9"/>
        <v>3.5700483483617464</v>
      </c>
      <c r="W34" s="68"/>
      <c r="X34" s="94">
        <f t="shared" si="10"/>
        <v>0.7979438365447924</v>
      </c>
      <c r="Y34" s="94">
        <f t="shared" si="11"/>
        <v>0.96265520266153481</v>
      </c>
      <c r="Z34" s="101">
        <f t="shared" si="12"/>
        <v>2.5288522984448041</v>
      </c>
    </row>
    <row r="35" spans="1:26" ht="13.5" thickBot="1" x14ac:dyDescent="0.25">
      <c r="A35" s="70" t="s">
        <v>190</v>
      </c>
      <c r="B35" s="70" t="s">
        <v>126</v>
      </c>
      <c r="C35" s="70" t="s">
        <v>139</v>
      </c>
      <c r="D35" s="71" t="s">
        <v>140</v>
      </c>
      <c r="E35" s="71">
        <v>0</v>
      </c>
      <c r="F35" s="98">
        <v>6</v>
      </c>
      <c r="G35" s="72" t="s">
        <v>147</v>
      </c>
      <c r="H35" s="98">
        <v>0</v>
      </c>
      <c r="I35" s="98">
        <f t="shared" si="0"/>
        <v>0</v>
      </c>
      <c r="J35" s="74">
        <v>8</v>
      </c>
      <c r="K35" s="75">
        <f t="shared" si="1"/>
        <v>0</v>
      </c>
      <c r="L35" s="95">
        <f t="shared" si="13"/>
        <v>3.8723040576252239</v>
      </c>
      <c r="M35" s="95">
        <f t="shared" si="3"/>
        <v>0</v>
      </c>
      <c r="N35" s="71">
        <v>20</v>
      </c>
      <c r="O35" s="72">
        <f t="shared" si="4"/>
        <v>0</v>
      </c>
      <c r="P35" s="73">
        <f t="shared" si="5"/>
        <v>0</v>
      </c>
      <c r="Q35" s="74">
        <v>15</v>
      </c>
      <c r="R35" s="76">
        <f t="shared" si="6"/>
        <v>0</v>
      </c>
      <c r="S35" s="76">
        <v>0</v>
      </c>
      <c r="T35" s="95">
        <f t="shared" si="7"/>
        <v>0</v>
      </c>
      <c r="U35" s="78">
        <f t="shared" si="8"/>
        <v>0</v>
      </c>
      <c r="V35" s="102" t="str">
        <f t="shared" si="9"/>
        <v>-</v>
      </c>
      <c r="W35" s="77"/>
      <c r="X35" s="95">
        <f t="shared" si="10"/>
        <v>0</v>
      </c>
      <c r="Y35" s="95">
        <f t="shared" si="11"/>
        <v>0</v>
      </c>
      <c r="Z35" s="102" t="str">
        <f t="shared" si="12"/>
        <v>-</v>
      </c>
    </row>
    <row r="36" spans="1:26" ht="13.5" thickBot="1" x14ac:dyDescent="0.25">
      <c r="A36" s="61" t="s">
        <v>191</v>
      </c>
      <c r="B36" s="61" t="s">
        <v>127</v>
      </c>
      <c r="C36" s="61" t="s">
        <v>141</v>
      </c>
      <c r="D36" s="62" t="s">
        <v>142</v>
      </c>
      <c r="E36" s="62">
        <v>0</v>
      </c>
      <c r="F36" s="97">
        <v>12</v>
      </c>
      <c r="G36" s="63" t="s">
        <v>147</v>
      </c>
      <c r="H36" s="97">
        <v>0</v>
      </c>
      <c r="I36" s="97">
        <f t="shared" ref="I36:I58" si="14">H36*F36</f>
        <v>0</v>
      </c>
      <c r="J36" s="65">
        <v>18</v>
      </c>
      <c r="K36" s="66">
        <f t="shared" si="1"/>
        <v>0</v>
      </c>
      <c r="L36" s="94">
        <f t="shared" si="13"/>
        <v>7.7446081152504478</v>
      </c>
      <c r="M36" s="94">
        <f t="shared" ref="M36:M67" si="15">MAX(0,H36*(J36-L36))</f>
        <v>0</v>
      </c>
      <c r="N36" s="62">
        <v>20</v>
      </c>
      <c r="O36" s="63">
        <f t="shared" ref="O36:O58" si="16">PV($B$74,N36,-I36)</f>
        <v>0</v>
      </c>
      <c r="P36" s="64">
        <f t="shared" ref="P36:P58" si="17">$B$77*I36/SUM($I$4:$I$51)</f>
        <v>0</v>
      </c>
      <c r="Q36" s="65">
        <v>25</v>
      </c>
      <c r="R36" s="67">
        <f t="shared" ref="R36:R58" si="18">H36*Q36</f>
        <v>0</v>
      </c>
      <c r="S36" s="67">
        <v>0</v>
      </c>
      <c r="T36" s="94">
        <f t="shared" ref="T36:T58" si="19">IF(ISERROR(R36/O36),0,R36/O36)</f>
        <v>0</v>
      </c>
      <c r="U36" s="69">
        <f t="shared" ref="U36:U58" si="20">IF(O36=0,0,(R36+P36)/O36)</f>
        <v>0</v>
      </c>
      <c r="V36" s="101" t="str">
        <f t="shared" ref="V36:V58" si="21">IF($R36=0,"-",(VLOOKUP($N36,AC,6)*$I36)/($R36+$P36))</f>
        <v>-</v>
      </c>
      <c r="W36" s="68"/>
      <c r="X36" s="94">
        <f t="shared" ref="X36:X58" si="22">IF(ISERROR(M36/O36),0,M36/O36)</f>
        <v>0</v>
      </c>
      <c r="Y36" s="94">
        <f t="shared" ref="Y36:Y58" si="23">IF(O36=0,0,(M36+P36)/O36)</f>
        <v>0</v>
      </c>
      <c r="Z36" s="101" t="str">
        <f t="shared" ref="Z36:Z58" si="24">IF($M36=0,"-",(VLOOKUP($N36,AC,4)*$I36)/(M36+P36))</f>
        <v>-</v>
      </c>
    </row>
    <row r="37" spans="1:26" ht="13.5" thickBot="1" x14ac:dyDescent="0.25">
      <c r="A37" s="70" t="s">
        <v>192</v>
      </c>
      <c r="B37" s="70" t="s">
        <v>106</v>
      </c>
      <c r="C37" s="70" t="s">
        <v>101</v>
      </c>
      <c r="D37" s="71" t="s">
        <v>107</v>
      </c>
      <c r="E37" s="71">
        <v>3</v>
      </c>
      <c r="F37" s="98">
        <v>0.35</v>
      </c>
      <c r="G37" s="72" t="s">
        <v>96</v>
      </c>
      <c r="H37" s="98">
        <v>8888</v>
      </c>
      <c r="I37" s="98">
        <f t="shared" si="14"/>
        <v>3110.7999999999997</v>
      </c>
      <c r="J37" s="74">
        <v>1.83</v>
      </c>
      <c r="K37" s="75">
        <f t="shared" si="1"/>
        <v>16265.04</v>
      </c>
      <c r="L37" s="95">
        <f t="shared" si="13"/>
        <v>0.29333838484702779</v>
      </c>
      <c r="M37" s="95">
        <f t="shared" si="15"/>
        <v>13657.848435479616</v>
      </c>
      <c r="N37" s="71">
        <v>30</v>
      </c>
      <c r="O37" s="72">
        <f t="shared" si="16"/>
        <v>57937.590322675169</v>
      </c>
      <c r="P37" s="73">
        <f t="shared" si="17"/>
        <v>11722.837596526815</v>
      </c>
      <c r="Q37" s="74">
        <v>2</v>
      </c>
      <c r="R37" s="76">
        <f t="shared" si="18"/>
        <v>17776</v>
      </c>
      <c r="S37" s="76">
        <v>0</v>
      </c>
      <c r="T37" s="95">
        <f t="shared" si="19"/>
        <v>0.30681289817196566</v>
      </c>
      <c r="U37" s="78">
        <f t="shared" si="20"/>
        <v>0.50914850673349088</v>
      </c>
      <c r="V37" s="102">
        <f t="shared" si="21"/>
        <v>3.675900196493803</v>
      </c>
      <c r="W37" s="77"/>
      <c r="X37" s="95">
        <f t="shared" si="22"/>
        <v>0.23573380182734857</v>
      </c>
      <c r="Y37" s="95">
        <f t="shared" si="23"/>
        <v>0.43806941038887376</v>
      </c>
      <c r="Z37" s="102">
        <f t="shared" si="24"/>
        <v>3.8839405386896981</v>
      </c>
    </row>
    <row r="38" spans="1:26" ht="13.5" thickBot="1" x14ac:dyDescent="0.25">
      <c r="A38" s="61" t="s">
        <v>193</v>
      </c>
      <c r="B38" s="61" t="s">
        <v>100</v>
      </c>
      <c r="C38" s="61" t="s">
        <v>101</v>
      </c>
      <c r="D38" s="62" t="s">
        <v>102</v>
      </c>
      <c r="E38" s="62">
        <v>2</v>
      </c>
      <c r="F38" s="97">
        <v>0.36</v>
      </c>
      <c r="G38" s="63" t="s">
        <v>96</v>
      </c>
      <c r="H38" s="97">
        <v>47884</v>
      </c>
      <c r="I38" s="97">
        <f t="shared" si="14"/>
        <v>17238.239999999998</v>
      </c>
      <c r="J38" s="65">
        <v>2.15</v>
      </c>
      <c r="K38" s="66">
        <f t="shared" si="1"/>
        <v>102950.59999999999</v>
      </c>
      <c r="L38" s="94">
        <f t="shared" si="13"/>
        <v>0.30171948155694289</v>
      </c>
      <c r="M38" s="94">
        <f t="shared" si="15"/>
        <v>88503.06434512735</v>
      </c>
      <c r="N38" s="62">
        <v>30</v>
      </c>
      <c r="O38" s="63">
        <f t="shared" si="16"/>
        <v>321056.34788605885</v>
      </c>
      <c r="P38" s="64">
        <f t="shared" si="17"/>
        <v>64961.131532066473</v>
      </c>
      <c r="Q38" s="65">
        <v>2.5</v>
      </c>
      <c r="R38" s="67">
        <f t="shared" si="18"/>
        <v>119710</v>
      </c>
      <c r="S38" s="67">
        <v>0</v>
      </c>
      <c r="T38" s="94">
        <f t="shared" si="19"/>
        <v>0.37286289708398612</v>
      </c>
      <c r="U38" s="69">
        <f t="shared" si="20"/>
        <v>0.57519850564551134</v>
      </c>
      <c r="V38" s="101">
        <f t="shared" si="21"/>
        <v>3.2537968676497213</v>
      </c>
      <c r="W38" s="68"/>
      <c r="X38" s="94">
        <f t="shared" si="22"/>
        <v>0.27566209149222803</v>
      </c>
      <c r="Y38" s="94">
        <f t="shared" si="23"/>
        <v>0.47799770005375325</v>
      </c>
      <c r="Z38" s="101">
        <f t="shared" si="24"/>
        <v>3.5595057080356369</v>
      </c>
    </row>
    <row r="39" spans="1:26" ht="13.5" thickBot="1" x14ac:dyDescent="0.25">
      <c r="A39" s="70" t="s">
        <v>194</v>
      </c>
      <c r="B39" s="70" t="s">
        <v>97</v>
      </c>
      <c r="C39" s="70" t="s">
        <v>98</v>
      </c>
      <c r="D39" s="71" t="s">
        <v>99</v>
      </c>
      <c r="E39" s="71">
        <v>3</v>
      </c>
      <c r="F39" s="98">
        <v>0.16</v>
      </c>
      <c r="G39" s="72" t="s">
        <v>96</v>
      </c>
      <c r="H39" s="98">
        <v>5571</v>
      </c>
      <c r="I39" s="98">
        <f t="shared" si="14"/>
        <v>891.36</v>
      </c>
      <c r="J39" s="74">
        <v>1.5</v>
      </c>
      <c r="K39" s="75">
        <f t="shared" si="1"/>
        <v>8356.5</v>
      </c>
      <c r="L39" s="95">
        <f t="shared" si="13"/>
        <v>0.13409754735864127</v>
      </c>
      <c r="M39" s="95">
        <f t="shared" si="15"/>
        <v>7609.4425636650094</v>
      </c>
      <c r="N39" s="71">
        <v>30</v>
      </c>
      <c r="O39" s="72">
        <f t="shared" si="16"/>
        <v>16601.276362999786</v>
      </c>
      <c r="P39" s="73">
        <f t="shared" si="17"/>
        <v>3359.029355805626</v>
      </c>
      <c r="Q39" s="74">
        <v>1.25</v>
      </c>
      <c r="R39" s="76">
        <f t="shared" si="18"/>
        <v>6963.75</v>
      </c>
      <c r="S39" s="76">
        <v>361.44999999999982</v>
      </c>
      <c r="T39" s="95">
        <f t="shared" si="19"/>
        <v>0.41947075921948435</v>
      </c>
      <c r="U39" s="78">
        <f t="shared" si="20"/>
        <v>0.62180636778100951</v>
      </c>
      <c r="V39" s="102">
        <f t="shared" si="21"/>
        <v>3.0099066090704727</v>
      </c>
      <c r="W39" s="77"/>
      <c r="X39" s="95">
        <f t="shared" si="22"/>
        <v>0.45836491106338118</v>
      </c>
      <c r="Y39" s="95">
        <f t="shared" si="23"/>
        <v>0.6607005196249065</v>
      </c>
      <c r="Z39" s="102">
        <f t="shared" si="24"/>
        <v>2.5751993395361361</v>
      </c>
    </row>
    <row r="40" spans="1:26" ht="13.5" thickBot="1" x14ac:dyDescent="0.25">
      <c r="A40" s="61" t="s">
        <v>195</v>
      </c>
      <c r="B40" s="61" t="s">
        <v>103</v>
      </c>
      <c r="C40" s="61" t="s">
        <v>98</v>
      </c>
      <c r="D40" s="62" t="s">
        <v>104</v>
      </c>
      <c r="E40" s="62">
        <v>4</v>
      </c>
      <c r="F40" s="97">
        <v>0.19</v>
      </c>
      <c r="G40" s="63" t="s">
        <v>105</v>
      </c>
      <c r="H40" s="97">
        <v>16539</v>
      </c>
      <c r="I40" s="97">
        <f t="shared" si="14"/>
        <v>3142.41</v>
      </c>
      <c r="J40" s="65">
        <v>1.7</v>
      </c>
      <c r="K40" s="66">
        <f t="shared" si="1"/>
        <v>28116.3</v>
      </c>
      <c r="L40" s="94">
        <f t="shared" si="13"/>
        <v>0.15924083748838649</v>
      </c>
      <c r="M40" s="94">
        <f t="shared" si="15"/>
        <v>25482.615788779574</v>
      </c>
      <c r="N40" s="62">
        <v>30</v>
      </c>
      <c r="O40" s="63">
        <f t="shared" si="16"/>
        <v>58526.315804898317</v>
      </c>
      <c r="P40" s="64">
        <f t="shared" si="17"/>
        <v>11841.957725248112</v>
      </c>
      <c r="Q40" s="65">
        <v>1.5</v>
      </c>
      <c r="R40" s="67">
        <f t="shared" si="18"/>
        <v>24808.5</v>
      </c>
      <c r="S40" s="67">
        <v>0</v>
      </c>
      <c r="T40" s="94">
        <f t="shared" si="19"/>
        <v>0.42388624089547888</v>
      </c>
      <c r="U40" s="69">
        <f t="shared" si="20"/>
        <v>0.6262218494570041</v>
      </c>
      <c r="V40" s="101">
        <f t="shared" si="21"/>
        <v>2.9886837988310506</v>
      </c>
      <c r="W40" s="68"/>
      <c r="X40" s="94">
        <f t="shared" si="22"/>
        <v>0.43540440634820937</v>
      </c>
      <c r="Y40" s="94">
        <f t="shared" si="23"/>
        <v>0.63774001490973464</v>
      </c>
      <c r="Z40" s="101">
        <f t="shared" si="24"/>
        <v>2.6679140433269839</v>
      </c>
    </row>
    <row r="41" spans="1:26" ht="13.5" thickBot="1" x14ac:dyDescent="0.25">
      <c r="A41" s="70" t="s">
        <v>196</v>
      </c>
      <c r="B41" s="70" t="s">
        <v>65</v>
      </c>
      <c r="C41" s="70" t="s">
        <v>11</v>
      </c>
      <c r="D41" s="71" t="s">
        <v>66</v>
      </c>
      <c r="E41" s="71">
        <v>4</v>
      </c>
      <c r="F41" s="98">
        <v>448</v>
      </c>
      <c r="G41" s="72" t="s">
        <v>27</v>
      </c>
      <c r="H41" s="98">
        <v>4</v>
      </c>
      <c r="I41" s="98">
        <f t="shared" si="14"/>
        <v>1792</v>
      </c>
      <c r="J41" s="74">
        <v>1800</v>
      </c>
      <c r="K41" s="75">
        <f t="shared" si="1"/>
        <v>7200</v>
      </c>
      <c r="L41" s="95">
        <f>PV($B$74,$N41,(-0.05*0.9*$F41))+PV($B$74,$N41,-4500/1000*10)</f>
        <v>633.38480341102286</v>
      </c>
      <c r="M41" s="95">
        <f t="shared" si="15"/>
        <v>4666.4607863559086</v>
      </c>
      <c r="N41" s="71">
        <v>12</v>
      </c>
      <c r="O41" s="72">
        <f t="shared" si="16"/>
        <v>17419.054139235006</v>
      </c>
      <c r="P41" s="73">
        <f t="shared" si="17"/>
        <v>6753.0297585753033</v>
      </c>
      <c r="Q41" s="74">
        <v>800</v>
      </c>
      <c r="R41" s="76">
        <f t="shared" si="18"/>
        <v>3200</v>
      </c>
      <c r="S41" s="76">
        <v>0</v>
      </c>
      <c r="T41" s="95">
        <f t="shared" si="19"/>
        <v>0.18370687492108195</v>
      </c>
      <c r="U41" s="78">
        <f t="shared" si="20"/>
        <v>0.57138749779512488</v>
      </c>
      <c r="V41" s="102">
        <f t="shared" si="21"/>
        <v>2.1418771584980782</v>
      </c>
      <c r="W41" s="77"/>
      <c r="X41" s="95">
        <f t="shared" si="22"/>
        <v>0.26789404000100581</v>
      </c>
      <c r="Y41" s="95">
        <f t="shared" si="23"/>
        <v>0.65557466287504873</v>
      </c>
      <c r="Z41" s="102">
        <f t="shared" si="24"/>
        <v>1.6971117783921084</v>
      </c>
    </row>
    <row r="42" spans="1:26" ht="13.5" thickBot="1" x14ac:dyDescent="0.25">
      <c r="A42" s="61" t="s">
        <v>197</v>
      </c>
      <c r="B42" s="61" t="s">
        <v>128</v>
      </c>
      <c r="C42" s="61" t="s">
        <v>11</v>
      </c>
      <c r="D42" s="62" t="s">
        <v>143</v>
      </c>
      <c r="E42" s="62">
        <v>0</v>
      </c>
      <c r="F42" s="97">
        <v>645</v>
      </c>
      <c r="G42" s="63" t="s">
        <v>27</v>
      </c>
      <c r="H42" s="97">
        <v>0</v>
      </c>
      <c r="I42" s="97">
        <f t="shared" si="14"/>
        <v>0</v>
      </c>
      <c r="J42" s="65">
        <v>4000</v>
      </c>
      <c r="K42" s="66">
        <f t="shared" si="1"/>
        <v>0</v>
      </c>
      <c r="L42" s="94">
        <f>PV($B$74,$N42,(-0.05*0.9*$F42))+PV($B$74,$N42,-9)</f>
        <v>545.34948811555228</v>
      </c>
      <c r="M42" s="94">
        <f t="shared" si="15"/>
        <v>0</v>
      </c>
      <c r="N42" s="62">
        <v>20</v>
      </c>
      <c r="O42" s="63">
        <f t="shared" si="16"/>
        <v>0</v>
      </c>
      <c r="P42" s="64">
        <f t="shared" si="17"/>
        <v>0</v>
      </c>
      <c r="Q42" s="65">
        <v>2500</v>
      </c>
      <c r="R42" s="67">
        <f t="shared" si="18"/>
        <v>0</v>
      </c>
      <c r="S42" s="67">
        <v>0</v>
      </c>
      <c r="T42" s="94">
        <f t="shared" si="19"/>
        <v>0</v>
      </c>
      <c r="U42" s="69">
        <f t="shared" si="20"/>
        <v>0</v>
      </c>
      <c r="V42" s="101" t="str">
        <f t="shared" si="21"/>
        <v>-</v>
      </c>
      <c r="W42" s="68"/>
      <c r="X42" s="94">
        <f t="shared" si="22"/>
        <v>0</v>
      </c>
      <c r="Y42" s="94">
        <f t="shared" si="23"/>
        <v>0</v>
      </c>
      <c r="Z42" s="101" t="str">
        <f t="shared" si="24"/>
        <v>-</v>
      </c>
    </row>
    <row r="43" spans="1:26" ht="13.5" thickBot="1" x14ac:dyDescent="0.25">
      <c r="A43" s="70" t="s">
        <v>198</v>
      </c>
      <c r="B43" s="70" t="s">
        <v>54</v>
      </c>
      <c r="C43" s="70" t="s">
        <v>55</v>
      </c>
      <c r="D43" s="71" t="s">
        <v>33</v>
      </c>
      <c r="E43" s="71">
        <v>5</v>
      </c>
      <c r="F43" s="98">
        <v>136</v>
      </c>
      <c r="G43" s="72" t="s">
        <v>56</v>
      </c>
      <c r="H43" s="98">
        <v>34</v>
      </c>
      <c r="I43" s="98">
        <f t="shared" si="14"/>
        <v>4624</v>
      </c>
      <c r="J43" s="74">
        <v>315</v>
      </c>
      <c r="K43" s="75">
        <f t="shared" si="1"/>
        <v>10710</v>
      </c>
      <c r="L43" s="95">
        <f>PV($B$74,$N43,(-0.05*0.9*$F43))+PV($B$74,$N43,-850/1000*10)</f>
        <v>66.197430772608939</v>
      </c>
      <c r="M43" s="95">
        <f t="shared" si="15"/>
        <v>8459.2873537312971</v>
      </c>
      <c r="N43" s="71">
        <v>5</v>
      </c>
      <c r="O43" s="72">
        <f t="shared" si="16"/>
        <v>20936.861825755383</v>
      </c>
      <c r="P43" s="73">
        <f t="shared" si="17"/>
        <v>17425.228573466633</v>
      </c>
      <c r="Q43" s="74">
        <v>105</v>
      </c>
      <c r="R43" s="76">
        <f t="shared" si="18"/>
        <v>3570</v>
      </c>
      <c r="S43" s="76">
        <v>0</v>
      </c>
      <c r="T43" s="95">
        <f t="shared" si="19"/>
        <v>0.17051265990628936</v>
      </c>
      <c r="U43" s="78">
        <f t="shared" si="20"/>
        <v>1.002787750532864</v>
      </c>
      <c r="V43" s="102">
        <f t="shared" si="21"/>
        <v>1.0317169843474978</v>
      </c>
      <c r="W43" s="77"/>
      <c r="X43" s="95">
        <f t="shared" si="22"/>
        <v>0.40403797971886812</v>
      </c>
      <c r="Y43" s="95">
        <f t="shared" si="23"/>
        <v>1.2363130703454428</v>
      </c>
      <c r="Z43" s="102">
        <f t="shared" si="24"/>
        <v>0.76076137460385118</v>
      </c>
    </row>
    <row r="44" spans="1:26" ht="13.5" thickBot="1" x14ac:dyDescent="0.25">
      <c r="A44" s="61" t="s">
        <v>199</v>
      </c>
      <c r="B44" s="61" t="s">
        <v>129</v>
      </c>
      <c r="C44" s="61" t="s">
        <v>144</v>
      </c>
      <c r="D44" s="62" t="s">
        <v>145</v>
      </c>
      <c r="E44" s="62">
        <v>0</v>
      </c>
      <c r="F44" s="97">
        <v>1049</v>
      </c>
      <c r="G44" s="63" t="s">
        <v>148</v>
      </c>
      <c r="H44" s="97">
        <v>0</v>
      </c>
      <c r="I44" s="97">
        <f t="shared" si="14"/>
        <v>0</v>
      </c>
      <c r="J44" s="65">
        <v>8283</v>
      </c>
      <c r="K44" s="66">
        <f t="shared" si="1"/>
        <v>0</v>
      </c>
      <c r="L44" s="94">
        <f t="shared" ref="L44:L51" si="25">PV($B$74,$N44,(-0.05*0.9*$F44))</f>
        <v>394.57158653081893</v>
      </c>
      <c r="M44" s="94">
        <f t="shared" si="15"/>
        <v>0</v>
      </c>
      <c r="N44" s="62">
        <v>10</v>
      </c>
      <c r="O44" s="63">
        <f t="shared" si="16"/>
        <v>0</v>
      </c>
      <c r="P44" s="64">
        <f t="shared" si="17"/>
        <v>0</v>
      </c>
      <c r="Q44" s="65">
        <v>2500</v>
      </c>
      <c r="R44" s="67">
        <f t="shared" si="18"/>
        <v>0</v>
      </c>
      <c r="S44" s="67">
        <v>0</v>
      </c>
      <c r="T44" s="94">
        <f t="shared" si="19"/>
        <v>0</v>
      </c>
      <c r="U44" s="69">
        <f t="shared" si="20"/>
        <v>0</v>
      </c>
      <c r="V44" s="101" t="str">
        <f t="shared" si="21"/>
        <v>-</v>
      </c>
      <c r="W44" s="68"/>
      <c r="X44" s="94">
        <f t="shared" si="22"/>
        <v>0</v>
      </c>
      <c r="Y44" s="94">
        <f t="shared" si="23"/>
        <v>0</v>
      </c>
      <c r="Z44" s="101" t="str">
        <f t="shared" si="24"/>
        <v>-</v>
      </c>
    </row>
    <row r="45" spans="1:26" ht="13.5" thickBot="1" x14ac:dyDescent="0.25">
      <c r="A45" s="70" t="s">
        <v>200</v>
      </c>
      <c r="B45" s="70" t="s">
        <v>6</v>
      </c>
      <c r="C45" s="70" t="s">
        <v>88</v>
      </c>
      <c r="D45" s="71" t="s">
        <v>16</v>
      </c>
      <c r="E45" s="71">
        <v>48</v>
      </c>
      <c r="F45" s="98">
        <v>4.33</v>
      </c>
      <c r="G45" s="72" t="s">
        <v>80</v>
      </c>
      <c r="H45" s="98">
        <v>4960</v>
      </c>
      <c r="I45" s="98">
        <f t="shared" si="14"/>
        <v>21476.799999999999</v>
      </c>
      <c r="J45" s="74">
        <v>21</v>
      </c>
      <c r="K45" s="75">
        <f t="shared" si="1"/>
        <v>104160</v>
      </c>
      <c r="L45" s="95">
        <f t="shared" si="25"/>
        <v>2.5914451861264589</v>
      </c>
      <c r="M45" s="95">
        <f t="shared" si="15"/>
        <v>91306.431876812756</v>
      </c>
      <c r="N45" s="71">
        <v>18</v>
      </c>
      <c r="O45" s="72">
        <f t="shared" si="16"/>
        <v>285634.84718193853</v>
      </c>
      <c r="P45" s="73">
        <f t="shared" si="17"/>
        <v>80933.85575835382</v>
      </c>
      <c r="Q45" s="74">
        <v>15</v>
      </c>
      <c r="R45" s="76">
        <f t="shared" si="18"/>
        <v>74400</v>
      </c>
      <c r="S45" s="76">
        <v>-1655.9899999999907</v>
      </c>
      <c r="T45" s="95">
        <f t="shared" si="19"/>
        <v>0.26047242041378105</v>
      </c>
      <c r="U45" s="78">
        <f t="shared" si="20"/>
        <v>0.54381969598902646</v>
      </c>
      <c r="V45" s="102">
        <f t="shared" si="21"/>
        <v>2.585436363028681</v>
      </c>
      <c r="W45" s="77"/>
      <c r="X45" s="95">
        <f t="shared" si="22"/>
        <v>0.31966138857929344</v>
      </c>
      <c r="Y45" s="95">
        <f t="shared" si="23"/>
        <v>0.6030086641545388</v>
      </c>
      <c r="Z45" s="102">
        <f t="shared" si="24"/>
        <v>2.1196909619752082</v>
      </c>
    </row>
    <row r="46" spans="1:26" ht="13.5" thickBot="1" x14ac:dyDescent="0.25">
      <c r="A46" s="61" t="s">
        <v>201</v>
      </c>
      <c r="B46" s="61" t="s">
        <v>78</v>
      </c>
      <c r="C46" s="61" t="s">
        <v>70</v>
      </c>
      <c r="D46" s="62" t="s">
        <v>71</v>
      </c>
      <c r="E46" s="62">
        <v>0</v>
      </c>
      <c r="F46" s="97">
        <v>535</v>
      </c>
      <c r="G46" s="63" t="s">
        <v>27</v>
      </c>
      <c r="H46" s="97">
        <v>0</v>
      </c>
      <c r="I46" s="97">
        <f t="shared" si="14"/>
        <v>0</v>
      </c>
      <c r="J46" s="65">
        <v>2600</v>
      </c>
      <c r="K46" s="66">
        <f t="shared" si="1"/>
        <v>0</v>
      </c>
      <c r="L46" s="94">
        <f t="shared" si="25"/>
        <v>234.0199377243766</v>
      </c>
      <c r="M46" s="94">
        <f t="shared" si="15"/>
        <v>0</v>
      </c>
      <c r="N46" s="62">
        <v>12</v>
      </c>
      <c r="O46" s="63">
        <f t="shared" si="16"/>
        <v>0</v>
      </c>
      <c r="P46" s="64">
        <f t="shared" si="17"/>
        <v>0</v>
      </c>
      <c r="Q46" s="65">
        <v>850</v>
      </c>
      <c r="R46" s="67">
        <f t="shared" si="18"/>
        <v>0</v>
      </c>
      <c r="S46" s="67">
        <v>0</v>
      </c>
      <c r="T46" s="94">
        <f t="shared" si="19"/>
        <v>0</v>
      </c>
      <c r="U46" s="69">
        <f t="shared" si="20"/>
        <v>0</v>
      </c>
      <c r="V46" s="101" t="str">
        <f t="shared" si="21"/>
        <v>-</v>
      </c>
      <c r="W46" s="68"/>
      <c r="X46" s="94">
        <f t="shared" si="22"/>
        <v>0</v>
      </c>
      <c r="Y46" s="94">
        <f t="shared" si="23"/>
        <v>0</v>
      </c>
      <c r="Z46" s="101" t="str">
        <f t="shared" si="24"/>
        <v>-</v>
      </c>
    </row>
    <row r="47" spans="1:26" ht="13.5" thickBot="1" x14ac:dyDescent="0.25">
      <c r="A47" s="70" t="s">
        <v>202</v>
      </c>
      <c r="B47" s="70" t="s">
        <v>69</v>
      </c>
      <c r="C47" s="70" t="s">
        <v>70</v>
      </c>
      <c r="D47" s="71" t="s">
        <v>71</v>
      </c>
      <c r="E47" s="71">
        <v>0</v>
      </c>
      <c r="F47" s="98">
        <v>912</v>
      </c>
      <c r="G47" s="72" t="s">
        <v>27</v>
      </c>
      <c r="H47" s="98">
        <v>0</v>
      </c>
      <c r="I47" s="98">
        <f t="shared" si="14"/>
        <v>0</v>
      </c>
      <c r="J47" s="74">
        <v>3200</v>
      </c>
      <c r="K47" s="75">
        <f t="shared" si="1"/>
        <v>0</v>
      </c>
      <c r="L47" s="95">
        <f t="shared" si="25"/>
        <v>398.92744524230176</v>
      </c>
      <c r="M47" s="95">
        <f t="shared" si="15"/>
        <v>0</v>
      </c>
      <c r="N47" s="71">
        <v>12</v>
      </c>
      <c r="O47" s="72">
        <f t="shared" si="16"/>
        <v>0</v>
      </c>
      <c r="P47" s="73">
        <f t="shared" si="17"/>
        <v>0</v>
      </c>
      <c r="Q47" s="74">
        <v>1200</v>
      </c>
      <c r="R47" s="76">
        <f t="shared" si="18"/>
        <v>0</v>
      </c>
      <c r="S47" s="76">
        <v>0</v>
      </c>
      <c r="T47" s="95">
        <f t="shared" si="19"/>
        <v>0</v>
      </c>
      <c r="U47" s="78">
        <f t="shared" si="20"/>
        <v>0</v>
      </c>
      <c r="V47" s="102" t="str">
        <f t="shared" si="21"/>
        <v>-</v>
      </c>
      <c r="W47" s="77"/>
      <c r="X47" s="95">
        <f t="shared" si="22"/>
        <v>0</v>
      </c>
      <c r="Y47" s="95">
        <f t="shared" si="23"/>
        <v>0</v>
      </c>
      <c r="Z47" s="102" t="str">
        <f t="shared" si="24"/>
        <v>-</v>
      </c>
    </row>
    <row r="48" spans="1:26" ht="13.5" thickBot="1" x14ac:dyDescent="0.25">
      <c r="A48" s="61" t="s">
        <v>203</v>
      </c>
      <c r="B48" s="61" t="s">
        <v>83</v>
      </c>
      <c r="C48" s="61" t="s">
        <v>11</v>
      </c>
      <c r="D48" s="62" t="s">
        <v>89</v>
      </c>
      <c r="E48" s="62">
        <v>0</v>
      </c>
      <c r="F48" s="97">
        <v>22</v>
      </c>
      <c r="G48" s="63" t="s">
        <v>84</v>
      </c>
      <c r="H48" s="97">
        <v>0</v>
      </c>
      <c r="I48" s="97">
        <f t="shared" si="14"/>
        <v>0</v>
      </c>
      <c r="J48" s="65">
        <v>137.9</v>
      </c>
      <c r="K48" s="66">
        <f t="shared" si="1"/>
        <v>0</v>
      </c>
      <c r="L48" s="94">
        <f t="shared" si="25"/>
        <v>13.166696095792631</v>
      </c>
      <c r="M48" s="94">
        <f t="shared" si="15"/>
        <v>0</v>
      </c>
      <c r="N48" s="62">
        <v>18</v>
      </c>
      <c r="O48" s="63">
        <f t="shared" si="16"/>
        <v>0</v>
      </c>
      <c r="P48" s="64">
        <f t="shared" si="17"/>
        <v>0</v>
      </c>
      <c r="Q48" s="65">
        <v>120</v>
      </c>
      <c r="R48" s="67">
        <f t="shared" si="18"/>
        <v>0</v>
      </c>
      <c r="S48" s="67">
        <v>0</v>
      </c>
      <c r="T48" s="94">
        <f t="shared" si="19"/>
        <v>0</v>
      </c>
      <c r="U48" s="69">
        <f t="shared" si="20"/>
        <v>0</v>
      </c>
      <c r="V48" s="101" t="str">
        <f t="shared" si="21"/>
        <v>-</v>
      </c>
      <c r="W48" s="68"/>
      <c r="X48" s="94">
        <f t="shared" si="22"/>
        <v>0</v>
      </c>
      <c r="Y48" s="94">
        <f t="shared" si="23"/>
        <v>0</v>
      </c>
      <c r="Z48" s="101" t="str">
        <f t="shared" si="24"/>
        <v>-</v>
      </c>
    </row>
    <row r="49" spans="1:26" ht="13.5" thickBot="1" x14ac:dyDescent="0.25">
      <c r="A49" s="70" t="s">
        <v>204</v>
      </c>
      <c r="B49" s="70" t="s">
        <v>91</v>
      </c>
      <c r="C49" s="70" t="s">
        <v>11</v>
      </c>
      <c r="D49" s="71" t="s">
        <v>92</v>
      </c>
      <c r="E49" s="71">
        <v>22</v>
      </c>
      <c r="F49" s="98">
        <v>38</v>
      </c>
      <c r="G49" s="72" t="s">
        <v>84</v>
      </c>
      <c r="H49" s="98">
        <v>150.5</v>
      </c>
      <c r="I49" s="98">
        <f t="shared" si="14"/>
        <v>5719</v>
      </c>
      <c r="J49" s="74">
        <v>52.8</v>
      </c>
      <c r="K49" s="75">
        <f t="shared" si="1"/>
        <v>7946.4</v>
      </c>
      <c r="L49" s="95">
        <f t="shared" si="25"/>
        <v>24.524592364959751</v>
      </c>
      <c r="M49" s="95">
        <f t="shared" si="15"/>
        <v>4255.4488490735566</v>
      </c>
      <c r="N49" s="71">
        <v>20</v>
      </c>
      <c r="O49" s="72">
        <f t="shared" si="16"/>
        <v>82021.136687254271</v>
      </c>
      <c r="P49" s="73">
        <f t="shared" si="17"/>
        <v>21551.661377953213</v>
      </c>
      <c r="Q49" s="74">
        <v>150</v>
      </c>
      <c r="R49" s="76">
        <f t="shared" si="18"/>
        <v>22575</v>
      </c>
      <c r="S49" s="76">
        <v>0</v>
      </c>
      <c r="T49" s="95">
        <f t="shared" si="19"/>
        <v>0.27523393251764161</v>
      </c>
      <c r="U49" s="78">
        <f t="shared" si="20"/>
        <v>0.53799134174655139</v>
      </c>
      <c r="V49" s="102">
        <f t="shared" si="21"/>
        <v>2.7398383848779657</v>
      </c>
      <c r="W49" s="77"/>
      <c r="X49" s="95">
        <f t="shared" si="22"/>
        <v>5.1882344246209827E-2</v>
      </c>
      <c r="Y49" s="95">
        <f t="shared" si="23"/>
        <v>0.31463975347511958</v>
      </c>
      <c r="Z49" s="102">
        <f t="shared" si="24"/>
        <v>4.2588657853050451</v>
      </c>
    </row>
    <row r="50" spans="1:26" ht="13.5" thickBot="1" x14ac:dyDescent="0.25">
      <c r="A50" s="61" t="s">
        <v>205</v>
      </c>
      <c r="B50" s="61" t="s">
        <v>85</v>
      </c>
      <c r="C50" s="61" t="s">
        <v>86</v>
      </c>
      <c r="D50" s="62" t="s">
        <v>87</v>
      </c>
      <c r="E50" s="62">
        <v>38</v>
      </c>
      <c r="F50" s="97">
        <v>1.1000000000000001</v>
      </c>
      <c r="G50" s="63" t="s">
        <v>80</v>
      </c>
      <c r="H50" s="97">
        <v>5172</v>
      </c>
      <c r="I50" s="97">
        <f t="shared" si="14"/>
        <v>5689.2000000000007</v>
      </c>
      <c r="J50" s="65">
        <v>6.72</v>
      </c>
      <c r="K50" s="66">
        <f t="shared" si="1"/>
        <v>34755.839999999997</v>
      </c>
      <c r="L50" s="94">
        <f t="shared" si="25"/>
        <v>0.65833480478963158</v>
      </c>
      <c r="M50" s="94">
        <f t="shared" si="15"/>
        <v>31350.932389628026</v>
      </c>
      <c r="N50" s="62">
        <v>18</v>
      </c>
      <c r="O50" s="63">
        <f t="shared" si="16"/>
        <v>75664.613563821651</v>
      </c>
      <c r="P50" s="64">
        <f t="shared" si="17"/>
        <v>21439.36211076262</v>
      </c>
      <c r="Q50" s="65">
        <v>5</v>
      </c>
      <c r="R50" s="67">
        <f t="shared" si="18"/>
        <v>25860</v>
      </c>
      <c r="S50" s="67">
        <v>0</v>
      </c>
      <c r="T50" s="94">
        <f t="shared" si="19"/>
        <v>0.34177138799747631</v>
      </c>
      <c r="U50" s="69">
        <f t="shared" si="20"/>
        <v>0.62511866357272172</v>
      </c>
      <c r="V50" s="101">
        <f t="shared" si="21"/>
        <v>2.2491909118590354</v>
      </c>
      <c r="W50" s="68"/>
      <c r="X50" s="94">
        <f t="shared" si="22"/>
        <v>0.41434074546860822</v>
      </c>
      <c r="Y50" s="94">
        <f t="shared" si="23"/>
        <v>0.69768802104385363</v>
      </c>
      <c r="Z50" s="101">
        <f t="shared" si="24"/>
        <v>1.8320395031130656</v>
      </c>
    </row>
    <row r="51" spans="1:26" ht="13.5" thickBot="1" x14ac:dyDescent="0.25">
      <c r="A51" s="70" t="s">
        <v>206</v>
      </c>
      <c r="B51" s="70" t="s">
        <v>110</v>
      </c>
      <c r="C51" s="70" t="s">
        <v>111</v>
      </c>
      <c r="D51" s="71" t="s">
        <v>112</v>
      </c>
      <c r="E51" s="71">
        <v>17</v>
      </c>
      <c r="F51" s="98">
        <v>1.1000000000000001</v>
      </c>
      <c r="G51" s="72" t="s">
        <v>105</v>
      </c>
      <c r="H51" s="98">
        <v>784.56999999999994</v>
      </c>
      <c r="I51" s="98">
        <f t="shared" si="14"/>
        <v>863.02700000000004</v>
      </c>
      <c r="J51" s="74">
        <v>24.31</v>
      </c>
      <c r="K51" s="75">
        <f t="shared" si="1"/>
        <v>19072.896699999998</v>
      </c>
      <c r="L51" s="95">
        <f t="shared" si="25"/>
        <v>1.132510632091358</v>
      </c>
      <c r="M51" s="95">
        <f t="shared" si="15"/>
        <v>18184.362833380081</v>
      </c>
      <c r="N51" s="71">
        <v>45</v>
      </c>
      <c r="O51" s="72">
        <f t="shared" si="16"/>
        <v>19745.197035998146</v>
      </c>
      <c r="P51" s="73">
        <f t="shared" si="17"/>
        <v>3252.2583780435089</v>
      </c>
      <c r="Q51" s="74">
        <v>5</v>
      </c>
      <c r="R51" s="76">
        <f t="shared" si="18"/>
        <v>3922.8499999999995</v>
      </c>
      <c r="S51" s="76">
        <v>0</v>
      </c>
      <c r="T51" s="95">
        <f t="shared" si="19"/>
        <v>0.19867363150887363</v>
      </c>
      <c r="U51" s="78">
        <f t="shared" si="20"/>
        <v>0.3633849976256161</v>
      </c>
      <c r="V51" s="102">
        <f t="shared" si="21"/>
        <v>7.3691927887607118</v>
      </c>
      <c r="W51" s="77"/>
      <c r="X51" s="95">
        <f t="shared" si="22"/>
        <v>0.92095119639614353</v>
      </c>
      <c r="Y51" s="95">
        <f t="shared" si="23"/>
        <v>1.085662562512886</v>
      </c>
      <c r="Z51" s="102">
        <f t="shared" si="24"/>
        <v>2.2423291600161228</v>
      </c>
    </row>
    <row r="52" spans="1:26" ht="13.5" thickBot="1" x14ac:dyDescent="0.25">
      <c r="A52" s="61" t="s">
        <v>213</v>
      </c>
      <c r="B52" s="61" t="s">
        <v>41</v>
      </c>
      <c r="C52" s="61" t="s">
        <v>42</v>
      </c>
      <c r="D52" s="62" t="s">
        <v>43</v>
      </c>
      <c r="E52" s="62">
        <v>3</v>
      </c>
      <c r="F52" s="97">
        <v>0</v>
      </c>
      <c r="G52" s="63" t="s">
        <v>27</v>
      </c>
      <c r="H52" s="97">
        <v>3</v>
      </c>
      <c r="I52" s="97">
        <f t="shared" si="14"/>
        <v>0</v>
      </c>
      <c r="J52" s="65">
        <v>0</v>
      </c>
      <c r="K52" s="66">
        <v>0</v>
      </c>
      <c r="L52" s="94">
        <f t="shared" ref="L52:L58" si="26">0.1*$F52+PV($B$74,$N52,(-0.05*0.9*$F52))</f>
        <v>0</v>
      </c>
      <c r="M52" s="94">
        <f t="shared" si="15"/>
        <v>0</v>
      </c>
      <c r="N52" s="62">
        <v>0</v>
      </c>
      <c r="O52" s="63">
        <f t="shared" si="16"/>
        <v>0</v>
      </c>
      <c r="P52" s="64">
        <f t="shared" si="17"/>
        <v>0</v>
      </c>
      <c r="Q52" s="65">
        <v>500</v>
      </c>
      <c r="R52" s="67">
        <f t="shared" si="18"/>
        <v>1500</v>
      </c>
      <c r="S52" s="67">
        <v>0</v>
      </c>
      <c r="T52" s="94">
        <f t="shared" si="19"/>
        <v>0</v>
      </c>
      <c r="U52" s="69">
        <f t="shared" si="20"/>
        <v>0</v>
      </c>
      <c r="V52" s="101" t="e">
        <f t="shared" si="21"/>
        <v>#N/A</v>
      </c>
      <c r="W52" s="68"/>
      <c r="X52" s="94">
        <f t="shared" si="22"/>
        <v>0</v>
      </c>
      <c r="Y52" s="94">
        <f t="shared" si="23"/>
        <v>0</v>
      </c>
      <c r="Z52" s="101" t="str">
        <f t="shared" si="24"/>
        <v>-</v>
      </c>
    </row>
    <row r="53" spans="1:26" ht="13.5" thickBot="1" x14ac:dyDescent="0.25">
      <c r="A53" s="70" t="s">
        <v>218</v>
      </c>
      <c r="B53" s="70" t="s">
        <v>47</v>
      </c>
      <c r="C53" s="70" t="s">
        <v>48</v>
      </c>
      <c r="D53" s="71" t="s">
        <v>49</v>
      </c>
      <c r="E53" s="71">
        <v>0</v>
      </c>
      <c r="F53" s="98">
        <v>0</v>
      </c>
      <c r="G53" s="72" t="s">
        <v>27</v>
      </c>
      <c r="H53" s="98">
        <v>0</v>
      </c>
      <c r="I53" s="98">
        <f t="shared" si="14"/>
        <v>0</v>
      </c>
      <c r="J53" s="74"/>
      <c r="K53" s="75"/>
      <c r="L53" s="95">
        <f t="shared" si="26"/>
        <v>0</v>
      </c>
      <c r="M53" s="95">
        <f t="shared" si="15"/>
        <v>0</v>
      </c>
      <c r="N53" s="71">
        <v>0</v>
      </c>
      <c r="O53" s="72">
        <f t="shared" si="16"/>
        <v>0</v>
      </c>
      <c r="P53" s="73">
        <f t="shared" si="17"/>
        <v>0</v>
      </c>
      <c r="Q53" s="74">
        <v>150</v>
      </c>
      <c r="R53" s="76">
        <f t="shared" si="18"/>
        <v>0</v>
      </c>
      <c r="S53" s="76">
        <v>0</v>
      </c>
      <c r="T53" s="95">
        <f t="shared" si="19"/>
        <v>0</v>
      </c>
      <c r="U53" s="78">
        <f t="shared" si="20"/>
        <v>0</v>
      </c>
      <c r="V53" s="102" t="str">
        <f t="shared" si="21"/>
        <v>-</v>
      </c>
      <c r="W53" s="77"/>
      <c r="X53" s="95">
        <f t="shared" si="22"/>
        <v>0</v>
      </c>
      <c r="Y53" s="95">
        <f t="shared" si="23"/>
        <v>0</v>
      </c>
      <c r="Z53" s="102" t="str">
        <f t="shared" si="24"/>
        <v>-</v>
      </c>
    </row>
    <row r="54" spans="1:26" ht="13.5" thickBot="1" x14ac:dyDescent="0.25">
      <c r="A54" s="61" t="s">
        <v>210</v>
      </c>
      <c r="B54" s="61" t="s">
        <v>47</v>
      </c>
      <c r="C54" s="61" t="s">
        <v>48</v>
      </c>
      <c r="D54" s="62" t="s">
        <v>49</v>
      </c>
      <c r="E54" s="62">
        <v>7</v>
      </c>
      <c r="F54" s="97">
        <v>0</v>
      </c>
      <c r="G54" s="63" t="s">
        <v>27</v>
      </c>
      <c r="H54" s="97">
        <v>7</v>
      </c>
      <c r="I54" s="97">
        <f t="shared" si="14"/>
        <v>0</v>
      </c>
      <c r="J54" s="65">
        <v>0</v>
      </c>
      <c r="K54" s="66">
        <v>0</v>
      </c>
      <c r="L54" s="94">
        <f t="shared" si="26"/>
        <v>0</v>
      </c>
      <c r="M54" s="94">
        <f t="shared" si="15"/>
        <v>0</v>
      </c>
      <c r="N54" s="62">
        <v>0</v>
      </c>
      <c r="O54" s="63">
        <f t="shared" si="16"/>
        <v>0</v>
      </c>
      <c r="P54" s="64">
        <f t="shared" si="17"/>
        <v>0</v>
      </c>
      <c r="Q54" s="65">
        <v>300</v>
      </c>
      <c r="R54" s="67">
        <f t="shared" si="18"/>
        <v>2100</v>
      </c>
      <c r="S54" s="67">
        <v>0</v>
      </c>
      <c r="T54" s="94">
        <f t="shared" si="19"/>
        <v>0</v>
      </c>
      <c r="U54" s="69">
        <f t="shared" si="20"/>
        <v>0</v>
      </c>
      <c r="V54" s="101" t="e">
        <f t="shared" si="21"/>
        <v>#N/A</v>
      </c>
      <c r="W54" s="68"/>
      <c r="X54" s="94">
        <f t="shared" si="22"/>
        <v>0</v>
      </c>
      <c r="Y54" s="94">
        <f t="shared" si="23"/>
        <v>0</v>
      </c>
      <c r="Z54" s="101" t="str">
        <f t="shared" si="24"/>
        <v>-</v>
      </c>
    </row>
    <row r="55" spans="1:26" ht="13.5" thickBot="1" x14ac:dyDescent="0.25">
      <c r="A55" s="70" t="s">
        <v>219</v>
      </c>
      <c r="B55" s="70" t="s">
        <v>44</v>
      </c>
      <c r="C55" s="70" t="s">
        <v>45</v>
      </c>
      <c r="D55" s="71" t="s">
        <v>46</v>
      </c>
      <c r="E55" s="71">
        <v>0</v>
      </c>
      <c r="F55" s="98">
        <v>0</v>
      </c>
      <c r="G55" s="72" t="s">
        <v>27</v>
      </c>
      <c r="H55" s="98">
        <v>0</v>
      </c>
      <c r="I55" s="98">
        <f t="shared" si="14"/>
        <v>0</v>
      </c>
      <c r="J55" s="74"/>
      <c r="K55" s="75"/>
      <c r="L55" s="95">
        <f t="shared" si="26"/>
        <v>0</v>
      </c>
      <c r="M55" s="95">
        <f t="shared" si="15"/>
        <v>0</v>
      </c>
      <c r="N55" s="71">
        <v>0</v>
      </c>
      <c r="O55" s="72">
        <f t="shared" si="16"/>
        <v>0</v>
      </c>
      <c r="P55" s="73">
        <f t="shared" si="17"/>
        <v>0</v>
      </c>
      <c r="Q55" s="74">
        <v>300</v>
      </c>
      <c r="R55" s="76">
        <f t="shared" si="18"/>
        <v>0</v>
      </c>
      <c r="S55" s="76">
        <v>0</v>
      </c>
      <c r="T55" s="95">
        <f t="shared" si="19"/>
        <v>0</v>
      </c>
      <c r="U55" s="78">
        <f t="shared" si="20"/>
        <v>0</v>
      </c>
      <c r="V55" s="102" t="str">
        <f t="shared" si="21"/>
        <v>-</v>
      </c>
      <c r="W55" s="77"/>
      <c r="X55" s="95">
        <f t="shared" si="22"/>
        <v>0</v>
      </c>
      <c r="Y55" s="95">
        <f t="shared" si="23"/>
        <v>0</v>
      </c>
      <c r="Z55" s="102" t="str">
        <f t="shared" si="24"/>
        <v>-</v>
      </c>
    </row>
    <row r="56" spans="1:26" ht="13.5" thickBot="1" x14ac:dyDescent="0.25">
      <c r="A56" s="61" t="s">
        <v>212</v>
      </c>
      <c r="B56" s="61" t="s">
        <v>44</v>
      </c>
      <c r="C56" s="61" t="s">
        <v>45</v>
      </c>
      <c r="D56" s="62" t="s">
        <v>46</v>
      </c>
      <c r="E56" s="62">
        <v>5</v>
      </c>
      <c r="F56" s="97">
        <v>0</v>
      </c>
      <c r="G56" s="63" t="s">
        <v>27</v>
      </c>
      <c r="H56" s="97">
        <v>5</v>
      </c>
      <c r="I56" s="97">
        <f t="shared" si="14"/>
        <v>0</v>
      </c>
      <c r="J56" s="65">
        <v>0</v>
      </c>
      <c r="K56" s="66">
        <v>0</v>
      </c>
      <c r="L56" s="94">
        <f t="shared" si="26"/>
        <v>0</v>
      </c>
      <c r="M56" s="94">
        <f t="shared" si="15"/>
        <v>0</v>
      </c>
      <c r="N56" s="62">
        <v>0</v>
      </c>
      <c r="O56" s="63">
        <f t="shared" si="16"/>
        <v>0</v>
      </c>
      <c r="P56" s="64">
        <f t="shared" si="17"/>
        <v>0</v>
      </c>
      <c r="Q56" s="65">
        <v>500</v>
      </c>
      <c r="R56" s="67">
        <f t="shared" si="18"/>
        <v>2500</v>
      </c>
      <c r="S56" s="67">
        <v>0</v>
      </c>
      <c r="T56" s="94">
        <f t="shared" si="19"/>
        <v>0</v>
      </c>
      <c r="U56" s="69">
        <f t="shared" si="20"/>
        <v>0</v>
      </c>
      <c r="V56" s="101" t="e">
        <f t="shared" si="21"/>
        <v>#N/A</v>
      </c>
      <c r="W56" s="68"/>
      <c r="X56" s="94">
        <f t="shared" si="22"/>
        <v>0</v>
      </c>
      <c r="Y56" s="94">
        <f t="shared" si="23"/>
        <v>0</v>
      </c>
      <c r="Z56" s="101" t="str">
        <f t="shared" si="24"/>
        <v>-</v>
      </c>
    </row>
    <row r="57" spans="1:26" ht="13.5" thickBot="1" x14ac:dyDescent="0.25">
      <c r="A57" s="70" t="s">
        <v>211</v>
      </c>
      <c r="B57" s="70" t="s">
        <v>207</v>
      </c>
      <c r="C57" s="70" t="s">
        <v>208</v>
      </c>
      <c r="D57" s="71" t="s">
        <v>209</v>
      </c>
      <c r="E57" s="71">
        <v>17</v>
      </c>
      <c r="F57" s="98">
        <v>0</v>
      </c>
      <c r="G57" s="72" t="s">
        <v>27</v>
      </c>
      <c r="H57" s="98">
        <v>82775.400000000009</v>
      </c>
      <c r="I57" s="98">
        <f t="shared" si="14"/>
        <v>0</v>
      </c>
      <c r="J57" s="74"/>
      <c r="K57" s="75"/>
      <c r="L57" s="95">
        <f t="shared" si="26"/>
        <v>0</v>
      </c>
      <c r="M57" s="95">
        <f t="shared" si="15"/>
        <v>0</v>
      </c>
      <c r="N57" s="71">
        <v>0</v>
      </c>
      <c r="O57" s="72">
        <f t="shared" si="16"/>
        <v>0</v>
      </c>
      <c r="P57" s="73">
        <f t="shared" si="17"/>
        <v>0</v>
      </c>
      <c r="Q57" s="74">
        <v>0.1</v>
      </c>
      <c r="R57" s="76">
        <f t="shared" si="18"/>
        <v>8277.5400000000009</v>
      </c>
      <c r="S57" s="76">
        <v>0</v>
      </c>
      <c r="T57" s="95">
        <f t="shared" si="19"/>
        <v>0</v>
      </c>
      <c r="U57" s="78">
        <f t="shared" si="20"/>
        <v>0</v>
      </c>
      <c r="V57" s="102" t="e">
        <f t="shared" si="21"/>
        <v>#N/A</v>
      </c>
      <c r="W57" s="77"/>
      <c r="X57" s="95">
        <f t="shared" si="22"/>
        <v>0</v>
      </c>
      <c r="Y57" s="95">
        <f t="shared" si="23"/>
        <v>0</v>
      </c>
      <c r="Z57" s="102" t="str">
        <f t="shared" si="24"/>
        <v>-</v>
      </c>
    </row>
    <row r="58" spans="1:26" ht="13.5" thickBot="1" x14ac:dyDescent="0.25">
      <c r="A58" s="61" t="s">
        <v>215</v>
      </c>
      <c r="B58" s="61" t="s">
        <v>214</v>
      </c>
      <c r="C58" s="61" t="s">
        <v>216</v>
      </c>
      <c r="D58" s="62" t="s">
        <v>217</v>
      </c>
      <c r="E58" s="62">
        <v>1</v>
      </c>
      <c r="F58" s="97">
        <v>0</v>
      </c>
      <c r="G58" s="63" t="s">
        <v>27</v>
      </c>
      <c r="H58" s="97">
        <v>2</v>
      </c>
      <c r="I58" s="97">
        <f t="shared" si="14"/>
        <v>0</v>
      </c>
      <c r="J58" s="65"/>
      <c r="K58" s="66"/>
      <c r="L58" s="94">
        <f t="shared" si="26"/>
        <v>0</v>
      </c>
      <c r="M58" s="94">
        <f t="shared" si="15"/>
        <v>0</v>
      </c>
      <c r="N58" s="62">
        <v>0</v>
      </c>
      <c r="O58" s="63">
        <f t="shared" si="16"/>
        <v>0</v>
      </c>
      <c r="P58" s="64">
        <f t="shared" si="17"/>
        <v>0</v>
      </c>
      <c r="Q58" s="65">
        <v>100</v>
      </c>
      <c r="R58" s="67">
        <f t="shared" si="18"/>
        <v>200</v>
      </c>
      <c r="S58" s="67">
        <v>0</v>
      </c>
      <c r="T58" s="94">
        <f t="shared" si="19"/>
        <v>0</v>
      </c>
      <c r="U58" s="69">
        <f t="shared" si="20"/>
        <v>0</v>
      </c>
      <c r="V58" s="101" t="e">
        <f t="shared" si="21"/>
        <v>#N/A</v>
      </c>
      <c r="W58" s="68"/>
      <c r="X58" s="94">
        <f t="shared" si="22"/>
        <v>0</v>
      </c>
      <c r="Y58" s="94">
        <f t="shared" si="23"/>
        <v>0</v>
      </c>
      <c r="Z58" s="101" t="str">
        <f t="shared" si="24"/>
        <v>-</v>
      </c>
    </row>
    <row r="59" spans="1:26" ht="14.25" customHeight="1" thickBot="1" x14ac:dyDescent="0.25">
      <c r="A59" s="60" t="s">
        <v>32</v>
      </c>
      <c r="B59" s="60"/>
      <c r="C59" s="60"/>
      <c r="D59" s="60"/>
      <c r="E59" s="60"/>
      <c r="F59" s="99"/>
      <c r="G59" s="60"/>
      <c r="H59" s="99"/>
      <c r="I59" s="99"/>
      <c r="J59" s="60"/>
      <c r="K59" s="60"/>
      <c r="L59" s="96"/>
      <c r="M59" s="96">
        <f t="shared" si="15"/>
        <v>0</v>
      </c>
      <c r="N59" s="60"/>
      <c r="O59" s="60"/>
      <c r="P59" s="60"/>
      <c r="Q59" s="60"/>
      <c r="R59" s="60"/>
      <c r="S59" s="60"/>
      <c r="T59" s="96"/>
      <c r="U59" s="60"/>
      <c r="V59" s="103"/>
      <c r="W59" s="60"/>
      <c r="X59" s="96"/>
      <c r="Y59" s="96"/>
      <c r="Z59" s="103"/>
    </row>
    <row r="60" spans="1:26" ht="13.5" thickBot="1" x14ac:dyDescent="0.25">
      <c r="A60" s="61"/>
      <c r="B60" s="61" t="s">
        <v>253</v>
      </c>
      <c r="C60" s="61"/>
      <c r="D60" s="62" t="s">
        <v>152</v>
      </c>
      <c r="E60" s="62">
        <v>1</v>
      </c>
      <c r="F60" s="97">
        <v>6584</v>
      </c>
      <c r="G60" s="63" t="s">
        <v>27</v>
      </c>
      <c r="H60" s="97">
        <v>1</v>
      </c>
      <c r="I60" s="97">
        <f t="shared" ref="I60:I68" si="27">H60*F60</f>
        <v>6584</v>
      </c>
      <c r="J60" s="65">
        <v>30000</v>
      </c>
      <c r="K60" s="66">
        <f t="shared" ref="K60:K68" si="28">H60*J60</f>
        <v>30000</v>
      </c>
      <c r="L60" s="94">
        <f t="shared" ref="L60:L68" si="29">PV($B$74,$N60,(-0.05*0.9*$F60))</f>
        <v>2879.9762055650381</v>
      </c>
      <c r="M60" s="94">
        <f t="shared" si="15"/>
        <v>27120.023794434961</v>
      </c>
      <c r="N60" s="62">
        <v>12</v>
      </c>
      <c r="O60" s="63">
        <f t="shared" ref="O60:O68" si="30">PV($B$74,N60,-I60)</f>
        <v>63999.471234778619</v>
      </c>
      <c r="P60" s="64">
        <f t="shared" ref="P60:P68" si="31">$B$76*I60/SUM($I$60:$I$69)</f>
        <v>7746.1564001176293</v>
      </c>
      <c r="Q60" s="65">
        <v>8428</v>
      </c>
      <c r="R60" s="67">
        <v>8428</v>
      </c>
      <c r="S60" s="67"/>
      <c r="T60" s="94">
        <f t="shared" ref="T60:T68" si="32">IF(ISERROR(R60/O60),0,R60/O60)</f>
        <v>0.13168858800539671</v>
      </c>
      <c r="U60" s="69">
        <f t="shared" ref="U60:U68" si="33">IF(O60=0,0,(R60+P60)/O60)</f>
        <v>0.25272328174061948</v>
      </c>
      <c r="V60" s="101">
        <f t="shared" ref="V60:V68" si="34">IF($R60=0,"-",(VLOOKUP($N60,AC,6)*$I60)/($R60+$P60))</f>
        <v>4.8426160888288452</v>
      </c>
      <c r="W60" s="68"/>
      <c r="X60" s="94">
        <f t="shared" ref="X60:X68" si="35">IF(ISERROR((M60)/O60),0,(M60)/O60)</f>
        <v>0.42375387282414589</v>
      </c>
      <c r="Y60" s="94">
        <f t="shared" ref="Y60:Y68" si="36">IF(O60=0,0,((M60)+P60)/O60)</f>
        <v>0.54478856655936858</v>
      </c>
      <c r="Z60" s="101">
        <f t="shared" ref="Z60:Z68" si="37">(VLOOKUP($N60,AC,4)*$I60)/($M60+$P60)</f>
        <v>2.0422298672808812</v>
      </c>
    </row>
    <row r="61" spans="1:26" ht="13.5" thickBot="1" x14ac:dyDescent="0.25">
      <c r="A61" s="70"/>
      <c r="B61" s="70" t="s">
        <v>250</v>
      </c>
      <c r="C61" s="70"/>
      <c r="D61" s="71" t="s">
        <v>153</v>
      </c>
      <c r="E61" s="71">
        <v>1</v>
      </c>
      <c r="F61" s="98">
        <v>1470</v>
      </c>
      <c r="G61" s="72" t="s">
        <v>27</v>
      </c>
      <c r="H61" s="98">
        <v>1</v>
      </c>
      <c r="I61" s="98">
        <f t="shared" si="27"/>
        <v>1470</v>
      </c>
      <c r="J61" s="74">
        <v>30000</v>
      </c>
      <c r="K61" s="75">
        <f t="shared" si="28"/>
        <v>30000</v>
      </c>
      <c r="L61" s="95">
        <f t="shared" si="29"/>
        <v>767.32358033032494</v>
      </c>
      <c r="M61" s="95">
        <f t="shared" si="15"/>
        <v>29232.676419669675</v>
      </c>
      <c r="N61" s="71">
        <v>15</v>
      </c>
      <c r="O61" s="72">
        <f t="shared" si="30"/>
        <v>17051.635118451664</v>
      </c>
      <c r="P61" s="73">
        <f t="shared" si="31"/>
        <v>1729.4729508160563</v>
      </c>
      <c r="Q61" s="74">
        <v>3669</v>
      </c>
      <c r="R61" s="76">
        <v>3669</v>
      </c>
      <c r="S61" s="76"/>
      <c r="T61" s="95">
        <f t="shared" si="32"/>
        <v>0.21516998073866569</v>
      </c>
      <c r="U61" s="78">
        <f t="shared" si="33"/>
        <v>0.31659561756481291</v>
      </c>
      <c r="V61" s="102">
        <f t="shared" si="34"/>
        <v>4.1427431873117389</v>
      </c>
      <c r="W61" s="77"/>
      <c r="X61" s="95">
        <f t="shared" si="35"/>
        <v>1.714362066546735</v>
      </c>
      <c r="Y61" s="95">
        <f t="shared" si="36"/>
        <v>1.8157877033728822</v>
      </c>
      <c r="Z61" s="102">
        <f t="shared" si="37"/>
        <v>0.65665182382033827</v>
      </c>
    </row>
    <row r="62" spans="1:26" ht="13.5" thickBot="1" x14ac:dyDescent="0.25">
      <c r="A62" s="61"/>
      <c r="B62" s="61" t="s">
        <v>251</v>
      </c>
      <c r="C62" s="61"/>
      <c r="D62" s="62" t="s">
        <v>154</v>
      </c>
      <c r="E62" s="62">
        <v>1</v>
      </c>
      <c r="F62" s="97">
        <v>2695</v>
      </c>
      <c r="G62" s="63" t="s">
        <v>27</v>
      </c>
      <c r="H62" s="97">
        <v>1</v>
      </c>
      <c r="I62" s="97">
        <f t="shared" si="27"/>
        <v>2695</v>
      </c>
      <c r="J62" s="65">
        <v>55000</v>
      </c>
      <c r="K62" s="66">
        <f t="shared" si="28"/>
        <v>55000</v>
      </c>
      <c r="L62" s="94">
        <f t="shared" si="29"/>
        <v>1406.7598972722626</v>
      </c>
      <c r="M62" s="94">
        <f t="shared" si="15"/>
        <v>53593.240102727737</v>
      </c>
      <c r="N62" s="62">
        <v>15</v>
      </c>
      <c r="O62" s="63">
        <f t="shared" si="30"/>
        <v>31261.331050494719</v>
      </c>
      <c r="P62" s="64">
        <f t="shared" si="31"/>
        <v>3170.7004098294369</v>
      </c>
      <c r="Q62" s="65">
        <v>6727</v>
      </c>
      <c r="R62" s="67">
        <v>6727</v>
      </c>
      <c r="S62" s="67"/>
      <c r="T62" s="94">
        <f t="shared" si="32"/>
        <v>0.21518597493927066</v>
      </c>
      <c r="U62" s="69">
        <f t="shared" si="33"/>
        <v>0.31661161176541786</v>
      </c>
      <c r="V62" s="101">
        <f t="shared" si="34"/>
        <v>4.1425339092463407</v>
      </c>
      <c r="W62" s="68"/>
      <c r="X62" s="94">
        <f t="shared" si="35"/>
        <v>1.714362066546735</v>
      </c>
      <c r="Y62" s="94">
        <f t="shared" si="36"/>
        <v>1.815787703372882</v>
      </c>
      <c r="Z62" s="101">
        <f t="shared" si="37"/>
        <v>0.65665182382033838</v>
      </c>
    </row>
    <row r="63" spans="1:26" ht="13.5" thickBot="1" x14ac:dyDescent="0.25">
      <c r="A63" s="70"/>
      <c r="B63" s="70" t="s">
        <v>254</v>
      </c>
      <c r="C63" s="70"/>
      <c r="D63" s="71" t="s">
        <v>155</v>
      </c>
      <c r="E63" s="71">
        <v>1</v>
      </c>
      <c r="F63" s="98">
        <v>7945</v>
      </c>
      <c r="G63" s="72" t="s">
        <v>27</v>
      </c>
      <c r="H63" s="98">
        <v>1</v>
      </c>
      <c r="I63" s="98">
        <f t="shared" si="27"/>
        <v>7945</v>
      </c>
      <c r="J63" s="74">
        <v>60000</v>
      </c>
      <c r="K63" s="75">
        <f t="shared" si="28"/>
        <v>60000</v>
      </c>
      <c r="L63" s="95">
        <f t="shared" si="29"/>
        <v>4147.2012555948513</v>
      </c>
      <c r="M63" s="95">
        <f t="shared" si="15"/>
        <v>55852.798744405147</v>
      </c>
      <c r="N63" s="71">
        <v>15</v>
      </c>
      <c r="O63" s="72">
        <f t="shared" si="30"/>
        <v>92160.027902107802</v>
      </c>
      <c r="P63" s="73">
        <f t="shared" si="31"/>
        <v>9347.3895198867813</v>
      </c>
      <c r="Q63" s="74">
        <v>19831</v>
      </c>
      <c r="R63" s="76">
        <v>19831</v>
      </c>
      <c r="S63" s="76"/>
      <c r="T63" s="95">
        <f t="shared" si="32"/>
        <v>0.21518005638045648</v>
      </c>
      <c r="U63" s="78">
        <f t="shared" si="33"/>
        <v>0.31660569320660376</v>
      </c>
      <c r="V63" s="102">
        <f t="shared" si="34"/>
        <v>4.1426113488853229</v>
      </c>
      <c r="W63" s="77"/>
      <c r="X63" s="95">
        <f t="shared" si="35"/>
        <v>0.60604146955914417</v>
      </c>
      <c r="Y63" s="95">
        <f t="shared" si="36"/>
        <v>0.70746710638529142</v>
      </c>
      <c r="Z63" s="102">
        <f t="shared" si="37"/>
        <v>1.6853650103712241</v>
      </c>
    </row>
    <row r="64" spans="1:26" ht="13.5" thickBot="1" x14ac:dyDescent="0.25">
      <c r="A64" s="61"/>
      <c r="B64" s="61" t="s">
        <v>255</v>
      </c>
      <c r="C64" s="61"/>
      <c r="D64" s="62" t="s">
        <v>156</v>
      </c>
      <c r="E64" s="62">
        <v>1</v>
      </c>
      <c r="F64" s="97">
        <v>7945</v>
      </c>
      <c r="G64" s="63" t="s">
        <v>27</v>
      </c>
      <c r="H64" s="97">
        <v>1</v>
      </c>
      <c r="I64" s="97">
        <f t="shared" si="27"/>
        <v>7945</v>
      </c>
      <c r="J64" s="65">
        <v>60000</v>
      </c>
      <c r="K64" s="66">
        <f t="shared" si="28"/>
        <v>60000</v>
      </c>
      <c r="L64" s="94">
        <f t="shared" si="29"/>
        <v>4147.2012555948513</v>
      </c>
      <c r="M64" s="94">
        <f t="shared" si="15"/>
        <v>55852.798744405147</v>
      </c>
      <c r="N64" s="62">
        <v>15</v>
      </c>
      <c r="O64" s="63">
        <f t="shared" si="30"/>
        <v>92160.027902107802</v>
      </c>
      <c r="P64" s="64">
        <f t="shared" si="31"/>
        <v>9347.3895198867813</v>
      </c>
      <c r="Q64" s="65">
        <v>19831</v>
      </c>
      <c r="R64" s="67">
        <v>19831</v>
      </c>
      <c r="S64" s="67"/>
      <c r="T64" s="94">
        <f t="shared" si="32"/>
        <v>0.21518005638045648</v>
      </c>
      <c r="U64" s="69">
        <f t="shared" si="33"/>
        <v>0.31660569320660376</v>
      </c>
      <c r="V64" s="101">
        <f t="shared" si="34"/>
        <v>4.1426113488853229</v>
      </c>
      <c r="W64" s="68"/>
      <c r="X64" s="94">
        <f t="shared" si="35"/>
        <v>0.60604146955914417</v>
      </c>
      <c r="Y64" s="94">
        <f t="shared" si="36"/>
        <v>0.70746710638529142</v>
      </c>
      <c r="Z64" s="101">
        <f t="shared" si="37"/>
        <v>1.6853650103712241</v>
      </c>
    </row>
    <row r="65" spans="1:26" ht="13.5" thickBot="1" x14ac:dyDescent="0.25">
      <c r="A65" s="70"/>
      <c r="B65" s="70" t="s">
        <v>256</v>
      </c>
      <c r="C65" s="70"/>
      <c r="D65" s="71" t="s">
        <v>157</v>
      </c>
      <c r="E65" s="71">
        <v>1</v>
      </c>
      <c r="F65" s="98">
        <v>510000</v>
      </c>
      <c r="G65" s="72" t="s">
        <v>27</v>
      </c>
      <c r="H65" s="98">
        <v>1</v>
      </c>
      <c r="I65" s="98">
        <f t="shared" si="27"/>
        <v>510000</v>
      </c>
      <c r="J65" s="74">
        <v>685000</v>
      </c>
      <c r="K65" s="75">
        <f t="shared" si="28"/>
        <v>685000</v>
      </c>
      <c r="L65" s="95">
        <f t="shared" si="29"/>
        <v>266214.30337990867</v>
      </c>
      <c r="M65" s="95">
        <f t="shared" si="15"/>
        <v>418785.69662009133</v>
      </c>
      <c r="N65" s="71">
        <v>15</v>
      </c>
      <c r="O65" s="72">
        <f t="shared" si="30"/>
        <v>5915873.4084424134</v>
      </c>
      <c r="P65" s="73">
        <f t="shared" si="31"/>
        <v>600021.22783414205</v>
      </c>
      <c r="Q65" s="74">
        <v>685000</v>
      </c>
      <c r="R65" s="76">
        <v>685000</v>
      </c>
      <c r="S65" s="76"/>
      <c r="T65" s="95">
        <f t="shared" si="32"/>
        <v>0.11579017208557091</v>
      </c>
      <c r="U65" s="78">
        <f t="shared" si="33"/>
        <v>0.21721580891171816</v>
      </c>
      <c r="V65" s="102">
        <f t="shared" si="34"/>
        <v>6.0381163984820168</v>
      </c>
      <c r="W65" s="77"/>
      <c r="X65" s="95">
        <f t="shared" si="35"/>
        <v>7.079017208557091E-2</v>
      </c>
      <c r="Y65" s="95">
        <f t="shared" si="36"/>
        <v>0.17221580891171814</v>
      </c>
      <c r="Z65" s="102">
        <f t="shared" si="37"/>
        <v>6.9235241214212122</v>
      </c>
    </row>
    <row r="66" spans="1:26" ht="13.5" thickBot="1" x14ac:dyDescent="0.25">
      <c r="A66" s="61"/>
      <c r="B66" s="61" t="s">
        <v>252</v>
      </c>
      <c r="C66" s="61"/>
      <c r="D66" s="62" t="s">
        <v>158</v>
      </c>
      <c r="E66" s="62">
        <v>1</v>
      </c>
      <c r="F66" s="97">
        <v>5968</v>
      </c>
      <c r="G66" s="63" t="s">
        <v>27</v>
      </c>
      <c r="H66" s="97">
        <v>1</v>
      </c>
      <c r="I66" s="97">
        <f t="shared" si="27"/>
        <v>5968</v>
      </c>
      <c r="J66" s="65">
        <v>37500</v>
      </c>
      <c r="K66" s="66">
        <f t="shared" si="28"/>
        <v>37500</v>
      </c>
      <c r="L66" s="94">
        <f t="shared" si="29"/>
        <v>3115.2293383750884</v>
      </c>
      <c r="M66" s="94">
        <f t="shared" si="15"/>
        <v>34384.770661624912</v>
      </c>
      <c r="N66" s="62">
        <v>15</v>
      </c>
      <c r="O66" s="63">
        <f t="shared" si="30"/>
        <v>69227.318630557507</v>
      </c>
      <c r="P66" s="64">
        <f t="shared" si="31"/>
        <v>7021.4248778709007</v>
      </c>
      <c r="Q66" s="65">
        <v>13703</v>
      </c>
      <c r="R66" s="67">
        <v>13703</v>
      </c>
      <c r="S66" s="67"/>
      <c r="T66" s="94">
        <f t="shared" si="32"/>
        <v>0.19794208805238028</v>
      </c>
      <c r="U66" s="69">
        <f t="shared" si="33"/>
        <v>0.29936772487852747</v>
      </c>
      <c r="V66" s="101">
        <f t="shared" si="34"/>
        <v>4.3811480958128346</v>
      </c>
      <c r="W66" s="68"/>
      <c r="X66" s="94">
        <f t="shared" si="35"/>
        <v>0.4966936657640123</v>
      </c>
      <c r="Y66" s="94">
        <f t="shared" si="36"/>
        <v>0.59811930259015955</v>
      </c>
      <c r="Z66" s="101">
        <f t="shared" si="37"/>
        <v>1.9934824071500605</v>
      </c>
    </row>
    <row r="67" spans="1:26" ht="13.5" thickBot="1" x14ac:dyDescent="0.25">
      <c r="A67" s="70"/>
      <c r="B67" s="70" t="s">
        <v>257</v>
      </c>
      <c r="C67" s="70"/>
      <c r="D67" s="71" t="s">
        <v>159</v>
      </c>
      <c r="E67" s="71">
        <v>1</v>
      </c>
      <c r="F67" s="98">
        <v>848</v>
      </c>
      <c r="G67" s="72" t="s">
        <v>27</v>
      </c>
      <c r="H67" s="98">
        <v>1</v>
      </c>
      <c r="I67" s="98">
        <f t="shared" si="27"/>
        <v>848</v>
      </c>
      <c r="J67" s="74">
        <v>14300</v>
      </c>
      <c r="K67" s="75">
        <f t="shared" si="28"/>
        <v>14300</v>
      </c>
      <c r="L67" s="95">
        <f t="shared" si="29"/>
        <v>547.28564014436495</v>
      </c>
      <c r="M67" s="95">
        <f t="shared" si="15"/>
        <v>13752.714359855636</v>
      </c>
      <c r="N67" s="71">
        <v>20</v>
      </c>
      <c r="O67" s="72">
        <f t="shared" si="30"/>
        <v>12161.903114319221</v>
      </c>
      <c r="P67" s="73">
        <f t="shared" si="31"/>
        <v>997.68235530069103</v>
      </c>
      <c r="Q67" s="74">
        <v>2117</v>
      </c>
      <c r="R67" s="76">
        <v>2117</v>
      </c>
      <c r="S67" s="76"/>
      <c r="T67" s="95">
        <f t="shared" si="32"/>
        <v>0.17406815200718709</v>
      </c>
      <c r="U67" s="78">
        <f t="shared" si="33"/>
        <v>0.25610155960159858</v>
      </c>
      <c r="V67" s="102">
        <f t="shared" si="34"/>
        <v>5.7555656089803851</v>
      </c>
      <c r="W67" s="77"/>
      <c r="X67" s="95">
        <f t="shared" si="35"/>
        <v>1.1308028217774093</v>
      </c>
      <c r="Y67" s="95">
        <f t="shared" si="36"/>
        <v>1.2128362293718207</v>
      </c>
      <c r="Z67" s="102">
        <f t="shared" si="37"/>
        <v>1.1048552544196739</v>
      </c>
    </row>
    <row r="68" spans="1:26" ht="13.5" thickBot="1" x14ac:dyDescent="0.25">
      <c r="A68" s="61"/>
      <c r="B68" s="61" t="s">
        <v>258</v>
      </c>
      <c r="C68" s="61"/>
      <c r="D68" s="62" t="s">
        <v>160</v>
      </c>
      <c r="E68" s="62">
        <v>1</v>
      </c>
      <c r="F68" s="97">
        <v>625</v>
      </c>
      <c r="G68" s="63" t="s">
        <v>27</v>
      </c>
      <c r="H68" s="97">
        <v>1</v>
      </c>
      <c r="I68" s="97">
        <f t="shared" si="27"/>
        <v>625</v>
      </c>
      <c r="J68" s="65">
        <v>10000</v>
      </c>
      <c r="K68" s="66">
        <f t="shared" si="28"/>
        <v>10000</v>
      </c>
      <c r="L68" s="94">
        <f t="shared" si="29"/>
        <v>468.61425500449218</v>
      </c>
      <c r="M68" s="94">
        <f t="shared" ref="M68" si="38">MAX(0,H68*(J68-L68))</f>
        <v>9531.3857449955085</v>
      </c>
      <c r="N68" s="62">
        <v>25</v>
      </c>
      <c r="O68" s="63">
        <f t="shared" si="30"/>
        <v>10413.650111210934</v>
      </c>
      <c r="P68" s="64">
        <f t="shared" si="31"/>
        <v>735.3201321496839</v>
      </c>
      <c r="Q68" s="65">
        <v>3230</v>
      </c>
      <c r="R68" s="67">
        <v>3230</v>
      </c>
      <c r="S68" s="67"/>
      <c r="T68" s="94">
        <f t="shared" si="32"/>
        <v>0.3101698218689628</v>
      </c>
      <c r="U68" s="69">
        <f t="shared" si="33"/>
        <v>0.38078100279946731</v>
      </c>
      <c r="V68" s="101">
        <f t="shared" si="34"/>
        <v>4.3595958108614496</v>
      </c>
      <c r="W68" s="68"/>
      <c r="X68" s="94">
        <f t="shared" si="35"/>
        <v>0.91527808628161855</v>
      </c>
      <c r="Y68" s="94">
        <f t="shared" si="36"/>
        <v>0.98588926721212311</v>
      </c>
      <c r="Z68" s="101">
        <f t="shared" si="37"/>
        <v>1.5307373388848662</v>
      </c>
    </row>
    <row r="69" spans="1:26" ht="13.5" thickBot="1" x14ac:dyDescent="0.25">
      <c r="A69" s="70"/>
      <c r="B69" s="70"/>
      <c r="C69" s="70"/>
      <c r="D69" s="71"/>
      <c r="E69" s="71"/>
      <c r="F69" s="71"/>
      <c r="G69" s="72"/>
      <c r="H69" s="73"/>
      <c r="I69" s="98"/>
      <c r="J69" s="74"/>
      <c r="K69" s="75"/>
      <c r="L69" s="71"/>
      <c r="M69" s="95"/>
      <c r="N69" s="71"/>
      <c r="O69" s="72"/>
      <c r="P69" s="73"/>
      <c r="Q69" s="74"/>
      <c r="R69" s="76"/>
      <c r="S69" s="76"/>
      <c r="T69" s="95"/>
      <c r="U69" s="78"/>
      <c r="V69" s="79"/>
      <c r="W69" s="77"/>
      <c r="X69" s="70"/>
      <c r="Y69" s="70"/>
      <c r="Z69" s="70"/>
    </row>
    <row r="70" spans="1:26" ht="15.75" thickBot="1" x14ac:dyDescent="0.25">
      <c r="A70" s="82" t="s">
        <v>0</v>
      </c>
      <c r="B70" s="83"/>
      <c r="C70" s="83"/>
      <c r="D70" s="83"/>
      <c r="E70" s="84">
        <f>SUM(E4:E51,E60:E68)</f>
        <v>316</v>
      </c>
      <c r="F70" s="85"/>
      <c r="G70" s="83"/>
      <c r="H70" s="86"/>
      <c r="I70" s="100">
        <f>SUM(I4:I69)</f>
        <v>798874.35499999998</v>
      </c>
      <c r="J70" s="87"/>
      <c r="K70" s="87">
        <f>SUM(K4:K69)</f>
        <v>2286008.7467</v>
      </c>
      <c r="L70" s="87"/>
      <c r="M70" s="93">
        <f>SUM(M4:M69)</f>
        <v>1839015.657369972</v>
      </c>
      <c r="N70" s="86">
        <f>SUMPRODUCT(I4:I69,N4:N69)/SUM(I4:I69)</f>
        <v>16.536408050049371</v>
      </c>
      <c r="O70" s="88">
        <f>SUM(O4:O69)</f>
        <v>9860736.0424790028</v>
      </c>
      <c r="P70" s="89">
        <f>SUM(P4:P69)</f>
        <v>1600291.9100000001</v>
      </c>
      <c r="Q70" s="83"/>
      <c r="R70" s="87">
        <f>SUM(R4:R57,R60:R68)</f>
        <v>1788681.69</v>
      </c>
      <c r="S70" s="87">
        <f>R70+SUM(S4:S69)</f>
        <v>1757837.71</v>
      </c>
      <c r="T70" s="91">
        <f>S70/O70</f>
        <v>0.17826637914527088</v>
      </c>
      <c r="U70" s="91">
        <f>(S70+P70)/O70</f>
        <v>0.34055567510716589</v>
      </c>
      <c r="V70" s="92">
        <f>IF($S70=0,"-",(VLOOKUP($N70,AC,6)*$I70)/($S70+$P70))</f>
        <v>3.8896358259555761</v>
      </c>
      <c r="W70" s="87"/>
      <c r="X70" s="93">
        <f>(M70)/O70</f>
        <v>0.18649882214143934</v>
      </c>
      <c r="Y70" s="93">
        <f>(M70+P70)/O70</f>
        <v>0.34878811810333438</v>
      </c>
      <c r="Z70" s="90">
        <f>IF($M70=0,"-",(VLOOKUP($N70,AC,4)*$I70)/($M70+P70))</f>
        <v>3.4525716222854754</v>
      </c>
    </row>
    <row r="71" spans="1:26" ht="13.5" thickBot="1" x14ac:dyDescent="0.25">
      <c r="B71" s="3"/>
      <c r="C71" s="26"/>
      <c r="D71" s="26"/>
      <c r="E71" s="27"/>
      <c r="F71" s="23"/>
      <c r="G71" s="23"/>
      <c r="H71" s="25"/>
      <c r="I71" s="24"/>
      <c r="J71" s="23"/>
      <c r="K71" s="23"/>
      <c r="L71" s="23"/>
      <c r="M71" s="28"/>
      <c r="N71" s="29"/>
      <c r="O71" s="30"/>
      <c r="P71" s="23"/>
      <c r="R71" s="56"/>
      <c r="S71" s="31"/>
      <c r="T71" s="32"/>
      <c r="U71" s="23"/>
      <c r="V71" s="33"/>
      <c r="W71" s="23"/>
      <c r="X71" s="34"/>
      <c r="Y71" s="34"/>
      <c r="Z71" s="3"/>
    </row>
    <row r="72" spans="1:26" ht="33.75" customHeight="1" thickBot="1" x14ac:dyDescent="0.25">
      <c r="A72" s="104" t="s">
        <v>3</v>
      </c>
      <c r="B72" s="105">
        <v>3.4000000000000002E-2</v>
      </c>
      <c r="D72" s="35"/>
      <c r="E72" s="36"/>
      <c r="F72" s="37"/>
      <c r="G72" s="38"/>
      <c r="H72" s="39"/>
      <c r="I72" s="24"/>
      <c r="J72" s="58" t="s">
        <v>161</v>
      </c>
      <c r="K72" s="59">
        <f>K70-M70</f>
        <v>446993.08933002804</v>
      </c>
      <c r="L72" s="39"/>
      <c r="M72" s="40"/>
      <c r="N72" s="24"/>
      <c r="O72" s="41"/>
      <c r="P72" s="41"/>
      <c r="R72" s="57"/>
      <c r="S72" s="41"/>
      <c r="T72" s="42"/>
      <c r="U72" s="43"/>
      <c r="V72" s="44"/>
      <c r="W72" s="39"/>
      <c r="X72" s="37"/>
      <c r="Y72" s="37"/>
      <c r="Z72" s="37"/>
    </row>
    <row r="73" spans="1:26" ht="33.75" customHeight="1" thickBot="1" x14ac:dyDescent="0.25">
      <c r="A73" s="104" t="s">
        <v>4</v>
      </c>
      <c r="B73" s="105">
        <v>0.02</v>
      </c>
      <c r="D73" s="35"/>
      <c r="E73" s="45"/>
      <c r="F73" s="1"/>
      <c r="G73" s="37"/>
      <c r="H73" s="17"/>
      <c r="I73" s="17"/>
      <c r="J73" s="3"/>
      <c r="K73" s="3"/>
      <c r="L73" s="3"/>
      <c r="M73" s="3"/>
      <c r="N73" s="3"/>
      <c r="O73" s="46"/>
      <c r="P73" s="23"/>
      <c r="R73" s="57"/>
      <c r="S73" s="2"/>
    </row>
    <row r="74" spans="1:26" ht="33.75" customHeight="1" thickBot="1" x14ac:dyDescent="0.25">
      <c r="A74" s="104" t="s">
        <v>5</v>
      </c>
      <c r="B74" s="105">
        <v>3.4000000000000002E-2</v>
      </c>
      <c r="D74" s="35"/>
      <c r="E74" s="36"/>
      <c r="F74" s="1"/>
      <c r="G74" s="37"/>
      <c r="H74" s="17"/>
      <c r="I74" s="17"/>
      <c r="S74" s="2"/>
    </row>
    <row r="75" spans="1:26" ht="33.75" customHeight="1" thickBot="1" x14ac:dyDescent="0.25">
      <c r="A75" s="104" t="s">
        <v>162</v>
      </c>
      <c r="B75" s="106">
        <v>1600291.91</v>
      </c>
      <c r="D75" s="35"/>
      <c r="I75" s="17"/>
      <c r="S75" s="2"/>
    </row>
    <row r="76" spans="1:26" ht="33.75" customHeight="1" thickBot="1" x14ac:dyDescent="0.25">
      <c r="A76" s="104" t="s">
        <v>34</v>
      </c>
      <c r="B76" s="112">
        <f>B75*0.4</f>
        <v>640116.76399999997</v>
      </c>
      <c r="D76" s="35"/>
      <c r="F76" s="20"/>
      <c r="H76" s="18"/>
      <c r="I76" s="47"/>
      <c r="J76" s="20"/>
      <c r="K76" s="20"/>
      <c r="L76" s="20"/>
      <c r="M76" s="20"/>
      <c r="N76" s="20"/>
      <c r="O76" s="20"/>
      <c r="P76" s="20"/>
      <c r="Q76" s="20"/>
      <c r="R76" s="48"/>
      <c r="S76" s="2"/>
      <c r="T76" s="20"/>
      <c r="U76" s="20"/>
      <c r="V76" s="20"/>
      <c r="W76" s="20"/>
      <c r="X76" s="20"/>
      <c r="Y76" s="20"/>
      <c r="Z76" s="20"/>
    </row>
    <row r="77" spans="1:26" ht="33.75" customHeight="1" thickBot="1" x14ac:dyDescent="0.25">
      <c r="A77" s="104" t="s">
        <v>35</v>
      </c>
      <c r="B77" s="112">
        <f>B75*0.6</f>
        <v>960175.14599999995</v>
      </c>
      <c r="D77" s="35"/>
      <c r="F77" s="20"/>
      <c r="G77" s="49"/>
      <c r="H77" s="18"/>
      <c r="I77" s="47"/>
      <c r="J77" s="20"/>
      <c r="K77" s="20"/>
      <c r="L77" s="20"/>
      <c r="M77" s="20"/>
      <c r="N77" s="20"/>
      <c r="O77" s="20"/>
      <c r="P77" s="20"/>
      <c r="Q77" s="20"/>
      <c r="R77" s="48"/>
      <c r="S77" s="48"/>
      <c r="T77" s="20"/>
      <c r="U77" s="20"/>
      <c r="V77" s="20"/>
      <c r="W77" s="20"/>
      <c r="X77" s="20"/>
      <c r="Y77" s="20"/>
      <c r="Z77" s="20"/>
    </row>
    <row r="78" spans="1:26" ht="16.899999999999999" customHeight="1" x14ac:dyDescent="0.2">
      <c r="B78" s="20"/>
      <c r="D78" s="35"/>
      <c r="F78" s="20"/>
      <c r="H78" s="18"/>
      <c r="I78" s="47"/>
      <c r="J78" s="20"/>
      <c r="K78" s="20"/>
      <c r="L78" s="20"/>
      <c r="M78" s="20"/>
      <c r="N78" s="20"/>
      <c r="O78" s="20"/>
      <c r="P78" s="20"/>
      <c r="Q78" s="20"/>
      <c r="R78" s="48"/>
      <c r="S78" s="48"/>
      <c r="T78" s="20"/>
      <c r="U78" s="20"/>
      <c r="V78" s="20"/>
      <c r="W78" s="20"/>
      <c r="X78" s="20"/>
      <c r="Y78" s="20"/>
      <c r="Z78" s="20"/>
    </row>
    <row r="79" spans="1:26" ht="14.45" customHeight="1" x14ac:dyDescent="0.2">
      <c r="A79" s="20"/>
      <c r="B79" s="20"/>
      <c r="D79" s="35"/>
      <c r="F79" s="20"/>
      <c r="G79" s="50"/>
      <c r="H79" s="18"/>
      <c r="I79" s="47"/>
      <c r="J79" s="20"/>
      <c r="K79" s="20"/>
      <c r="L79" s="20"/>
      <c r="M79" s="20"/>
      <c r="N79" s="20"/>
      <c r="O79" s="20"/>
      <c r="P79" s="20"/>
      <c r="Q79" s="20"/>
      <c r="R79" s="48"/>
      <c r="S79" s="48"/>
      <c r="T79" s="20"/>
      <c r="U79" s="20"/>
      <c r="V79" s="20"/>
      <c r="W79" s="20"/>
      <c r="X79" s="20"/>
      <c r="Y79" s="20"/>
      <c r="Z79" s="20"/>
    </row>
    <row r="80" spans="1:26" ht="16.899999999999999" customHeight="1" x14ac:dyDescent="0.2">
      <c r="A80" s="20"/>
      <c r="B80" s="51">
        <v>766935</v>
      </c>
      <c r="D80" s="35"/>
      <c r="F80" s="20"/>
      <c r="H80" s="18"/>
      <c r="I80" s="47"/>
      <c r="J80" s="20"/>
      <c r="K80" s="20"/>
      <c r="L80" s="20"/>
      <c r="M80" s="20"/>
      <c r="N80" s="20"/>
      <c r="O80" s="20"/>
      <c r="P80" s="20"/>
      <c r="Q80" s="20"/>
      <c r="R80" s="48"/>
      <c r="S80" s="48"/>
      <c r="T80" s="20"/>
      <c r="U80" s="20"/>
      <c r="V80" s="20"/>
      <c r="W80" s="20"/>
      <c r="X80" s="20"/>
      <c r="Y80" s="20"/>
      <c r="Z80" s="20"/>
    </row>
    <row r="81" spans="1:26" ht="14.45" customHeight="1" x14ac:dyDescent="0.2">
      <c r="B81" s="20"/>
      <c r="D81" s="35"/>
      <c r="F81" s="20"/>
      <c r="G81" s="50"/>
      <c r="H81" s="18"/>
      <c r="I81" s="47"/>
      <c r="J81" s="20"/>
      <c r="K81" s="20"/>
      <c r="L81" s="20"/>
      <c r="M81" s="20"/>
      <c r="N81" s="20"/>
      <c r="O81" s="20"/>
      <c r="P81" s="20"/>
      <c r="Q81" s="20"/>
      <c r="R81" s="48"/>
      <c r="S81" s="48"/>
      <c r="T81" s="20"/>
      <c r="U81" s="20"/>
      <c r="V81" s="20"/>
      <c r="W81" s="20"/>
      <c r="X81" s="20"/>
      <c r="Y81" s="20"/>
      <c r="Z81" s="20"/>
    </row>
    <row r="82" spans="1:26" x14ac:dyDescent="0.2">
      <c r="B82" s="20"/>
      <c r="F82" s="20"/>
      <c r="H82" s="18"/>
      <c r="I82" s="47"/>
      <c r="J82" s="20"/>
      <c r="K82" s="20"/>
      <c r="L82" s="20"/>
      <c r="M82" s="20"/>
      <c r="N82" s="20"/>
      <c r="O82" s="20"/>
      <c r="P82" s="20"/>
      <c r="Q82" s="20"/>
      <c r="R82" s="48"/>
      <c r="S82" s="48"/>
      <c r="T82" s="20"/>
      <c r="U82" s="20"/>
      <c r="V82" s="20"/>
      <c r="W82" s="20"/>
      <c r="X82" s="20"/>
      <c r="Y82" s="20"/>
      <c r="Z82" s="20"/>
    </row>
    <row r="83" spans="1:26" ht="18" customHeight="1" x14ac:dyDescent="0.2">
      <c r="B83" s="55"/>
      <c r="C83" s="49"/>
      <c r="F83" s="20"/>
      <c r="H83" s="18"/>
      <c r="I83" s="47"/>
      <c r="J83" s="20"/>
      <c r="K83" s="20"/>
      <c r="L83" s="20"/>
      <c r="M83" s="20"/>
      <c r="N83" s="20"/>
      <c r="O83" s="20"/>
      <c r="P83" s="20"/>
      <c r="Q83" s="20"/>
      <c r="R83" s="48"/>
      <c r="S83" s="48"/>
      <c r="T83" s="52"/>
      <c r="U83" s="20"/>
      <c r="V83" s="20"/>
      <c r="W83" s="20"/>
      <c r="X83" s="20"/>
      <c r="Y83" s="20"/>
      <c r="Z83" s="20"/>
    </row>
    <row r="84" spans="1:26" x14ac:dyDescent="0.2">
      <c r="C84" s="53"/>
      <c r="I84" s="54"/>
    </row>
    <row r="85" spans="1:26" x14ac:dyDescent="0.2">
      <c r="C85" s="50"/>
      <c r="I85" s="54"/>
    </row>
    <row r="86" spans="1:26" x14ac:dyDescent="0.2">
      <c r="I86" s="54"/>
    </row>
    <row r="87" spans="1:26" x14ac:dyDescent="0.2">
      <c r="A87" s="3"/>
      <c r="I87" s="54"/>
    </row>
    <row r="88" spans="1:26" x14ac:dyDescent="0.2">
      <c r="I88" s="54"/>
    </row>
    <row r="89" spans="1:26" x14ac:dyDescent="0.2">
      <c r="I89" s="54"/>
      <c r="Z89" s="3"/>
    </row>
  </sheetData>
  <autoFilter ref="A3:Z3" xr:uid="{00000000-0001-0000-0000-000000000000}"/>
  <mergeCells count="2">
    <mergeCell ref="B1:Z1"/>
    <mergeCell ref="B2:Z2"/>
  </mergeCells>
  <phoneticPr fontId="0" type="noConversion"/>
  <printOptions horizontalCentered="1" verticalCentered="1"/>
  <pageMargins left="0.25" right="0.02" top="0.73" bottom="0.72" header="0.5" footer="0.5"/>
  <pageSetup paperSize="5" scale="21" orientation="landscape" horizontalDpi="1200" verticalDpi="1200" r:id="rId1"/>
  <headerFooter alignWithMargins="0">
    <oddHeader>&amp;C&amp;c</oddHeader>
    <oddFooter>&amp;C&amp;14Appendix A&amp;R&amp;14Page 3 of 4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K56"/>
  <sheetViews>
    <sheetView zoomScaleNormal="100" workbookViewId="0">
      <selection sqref="A1:I1"/>
    </sheetView>
  </sheetViews>
  <sheetFormatPr defaultColWidth="10.6640625" defaultRowHeight="12.75" x14ac:dyDescent="0.2"/>
  <cols>
    <col min="1" max="1" width="7.33203125" style="7" bestFit="1" customWidth="1"/>
    <col min="2" max="2" width="7.6640625" style="7" bestFit="1" customWidth="1"/>
    <col min="3" max="3" width="18" style="7" customWidth="1"/>
    <col min="4" max="4" width="12.33203125" style="7" bestFit="1" customWidth="1"/>
    <col min="5" max="5" width="13.5" style="7" bestFit="1" customWidth="1"/>
    <col min="6" max="6" width="20.33203125" style="7" bestFit="1" customWidth="1"/>
    <col min="7" max="7" width="20.33203125" style="7" customWidth="1"/>
    <col min="8" max="8" width="21.83203125" style="7" bestFit="1" customWidth="1"/>
    <col min="9" max="9" width="19.33203125" style="7" bestFit="1" customWidth="1"/>
    <col min="10" max="16384" width="10.6640625" style="7"/>
  </cols>
  <sheetData>
    <row r="1" spans="1:11" s="5" customFormat="1" x14ac:dyDescent="0.2">
      <c r="A1" s="121" t="s">
        <v>1</v>
      </c>
      <c r="B1" s="121"/>
      <c r="C1" s="121"/>
      <c r="D1" s="121"/>
      <c r="E1" s="121"/>
      <c r="F1" s="121"/>
      <c r="G1" s="121"/>
      <c r="H1" s="121"/>
      <c r="I1" s="121"/>
      <c r="J1" s="4"/>
      <c r="K1" s="4"/>
    </row>
    <row r="2" spans="1:11" s="5" customFormat="1" x14ac:dyDescent="0.2">
      <c r="A2" s="121" t="s">
        <v>40</v>
      </c>
      <c r="B2" s="121"/>
      <c r="C2" s="121"/>
      <c r="D2" s="121"/>
      <c r="E2" s="121"/>
      <c r="F2" s="121"/>
      <c r="G2" s="121"/>
      <c r="H2" s="121"/>
      <c r="I2" s="121"/>
      <c r="J2" s="4"/>
      <c r="K2" s="4"/>
    </row>
    <row r="3" spans="1:11" s="5" customFormat="1" x14ac:dyDescent="0.2">
      <c r="A3" s="121" t="s">
        <v>30</v>
      </c>
      <c r="B3" s="121"/>
      <c r="C3" s="121"/>
      <c r="D3" s="121"/>
      <c r="E3" s="121"/>
      <c r="F3" s="121"/>
      <c r="G3" s="121"/>
      <c r="H3" s="121"/>
      <c r="I3" s="121"/>
      <c r="J3" s="4"/>
      <c r="K3" s="4"/>
    </row>
    <row r="4" spans="1:11" s="5" customFormat="1" x14ac:dyDescent="0.2">
      <c r="A4" s="121" t="s">
        <v>19</v>
      </c>
      <c r="B4" s="121"/>
      <c r="C4" s="121"/>
      <c r="D4" s="121"/>
      <c r="E4" s="121"/>
      <c r="F4" s="121"/>
      <c r="G4" s="121"/>
      <c r="H4" s="121"/>
      <c r="I4" s="121"/>
      <c r="J4" s="4"/>
      <c r="K4" s="4"/>
    </row>
    <row r="5" spans="1:11" x14ac:dyDescent="0.2">
      <c r="I5" s="6"/>
      <c r="J5" s="6"/>
      <c r="K5" s="6"/>
    </row>
    <row r="6" spans="1:11" s="9" customFormat="1" ht="39" x14ac:dyDescent="0.2">
      <c r="B6" s="113" t="s">
        <v>20</v>
      </c>
      <c r="C6" s="113" t="s">
        <v>244</v>
      </c>
      <c r="D6" s="113" t="s">
        <v>245</v>
      </c>
      <c r="E6" s="113" t="s">
        <v>246</v>
      </c>
      <c r="F6" s="113" t="s">
        <v>247</v>
      </c>
      <c r="G6" s="113" t="s">
        <v>248</v>
      </c>
      <c r="H6" s="113" t="s">
        <v>249</v>
      </c>
      <c r="I6" s="8"/>
      <c r="J6" s="8"/>
      <c r="K6" s="8"/>
    </row>
    <row r="7" spans="1:11" s="9" customFormat="1" x14ac:dyDescent="0.2">
      <c r="A7" s="107">
        <v>2021</v>
      </c>
      <c r="B7" s="107">
        <v>1</v>
      </c>
      <c r="C7" s="108">
        <v>0.88445163236383117</v>
      </c>
      <c r="D7" s="108">
        <v>0.88445163236383117</v>
      </c>
      <c r="E7" s="108">
        <v>0.88445163236383117</v>
      </c>
      <c r="F7" s="109">
        <v>0.1</v>
      </c>
      <c r="G7" s="110">
        <v>0.97289679560021436</v>
      </c>
      <c r="H7" s="114">
        <v>0.57011051999999995</v>
      </c>
      <c r="I7" s="8"/>
      <c r="J7" s="8"/>
    </row>
    <row r="8" spans="1:11" s="9" customFormat="1" x14ac:dyDescent="0.2">
      <c r="A8" s="107">
        <v>2022</v>
      </c>
      <c r="B8" s="107">
        <v>2</v>
      </c>
      <c r="C8" s="108">
        <v>0.81371500359565097</v>
      </c>
      <c r="D8" s="108">
        <v>0.84138131371790315</v>
      </c>
      <c r="E8" s="108">
        <v>1.7258329460817343</v>
      </c>
      <c r="F8" s="109">
        <v>0.1</v>
      </c>
      <c r="G8" s="110">
        <v>1.8984162406899079</v>
      </c>
      <c r="H8" s="114">
        <v>0.57615605137735904</v>
      </c>
      <c r="I8" s="8"/>
      <c r="J8" s="8"/>
    </row>
    <row r="9" spans="1:11" s="9" customFormat="1" x14ac:dyDescent="0.2">
      <c r="A9" s="107">
        <v>2023</v>
      </c>
      <c r="B9" s="107">
        <v>3</v>
      </c>
      <c r="C9" s="108">
        <v>0.76115943272610243</v>
      </c>
      <c r="D9" s="108">
        <v>0.81379817445570879</v>
      </c>
      <c r="E9" s="108">
        <v>2.5396311205374431</v>
      </c>
      <c r="F9" s="109">
        <v>0.1</v>
      </c>
      <c r="G9" s="110">
        <v>2.7935942325911878</v>
      </c>
      <c r="H9" s="114">
        <v>0.58293196065410902</v>
      </c>
      <c r="I9" s="8"/>
      <c r="J9" s="8"/>
    </row>
    <row r="10" spans="1:11" x14ac:dyDescent="0.2">
      <c r="A10" s="107">
        <v>2024</v>
      </c>
      <c r="B10" s="107">
        <v>4</v>
      </c>
      <c r="C10" s="108">
        <v>0.75798388048815024</v>
      </c>
      <c r="D10" s="108">
        <v>0.83795671619391321</v>
      </c>
      <c r="E10" s="108">
        <v>3.3775878367313563</v>
      </c>
      <c r="F10" s="109">
        <v>0.1</v>
      </c>
      <c r="G10" s="110">
        <v>3.715346620404492</v>
      </c>
      <c r="H10" s="114">
        <v>0.58975943021046795</v>
      </c>
      <c r="J10" s="6"/>
    </row>
    <row r="11" spans="1:11" x14ac:dyDescent="0.2">
      <c r="A11" s="111">
        <v>2025</v>
      </c>
      <c r="B11" s="107">
        <v>5</v>
      </c>
      <c r="C11" s="108">
        <v>0.77075836546405829</v>
      </c>
      <c r="D11" s="108">
        <v>0.88104968872936473</v>
      </c>
      <c r="E11" s="108">
        <v>4.2586375254607214</v>
      </c>
      <c r="F11" s="109">
        <v>0.1</v>
      </c>
      <c r="G11" s="110">
        <v>4.6845012780067936</v>
      </c>
      <c r="H11" s="114">
        <v>0.61455510299969196</v>
      </c>
      <c r="J11" s="6"/>
    </row>
    <row r="12" spans="1:11" x14ac:dyDescent="0.2">
      <c r="A12" s="107">
        <v>2026</v>
      </c>
      <c r="B12" s="107">
        <v>6</v>
      </c>
      <c r="C12" s="108">
        <v>0.76378755722747937</v>
      </c>
      <c r="D12" s="108">
        <v>0.90276616326625003</v>
      </c>
      <c r="E12" s="108">
        <v>5.1614036887269714</v>
      </c>
      <c r="F12" s="109">
        <v>0.1</v>
      </c>
      <c r="G12" s="110">
        <v>5.6775440575996692</v>
      </c>
      <c r="H12" s="114">
        <v>0.629247118316003</v>
      </c>
      <c r="J12" s="6"/>
    </row>
    <row r="13" spans="1:11" x14ac:dyDescent="0.2">
      <c r="A13" s="107">
        <v>2027</v>
      </c>
      <c r="B13" s="107">
        <v>7</v>
      </c>
      <c r="C13" s="108">
        <v>0.74933499617350652</v>
      </c>
      <c r="D13" s="108">
        <v>0.91579706736600974</v>
      </c>
      <c r="E13" s="108">
        <v>6.0772007560929815</v>
      </c>
      <c r="F13" s="109">
        <v>0.1</v>
      </c>
      <c r="G13" s="110">
        <v>6.6849208317022804</v>
      </c>
      <c r="H13" s="114">
        <v>0.64174689766763904</v>
      </c>
      <c r="J13" s="6"/>
    </row>
    <row r="14" spans="1:11" x14ac:dyDescent="0.2">
      <c r="A14" s="107">
        <v>2028</v>
      </c>
      <c r="B14" s="107">
        <v>8</v>
      </c>
      <c r="C14" s="108">
        <v>0.72707320786116503</v>
      </c>
      <c r="D14" s="108">
        <v>0.91880195964036115</v>
      </c>
      <c r="E14" s="108">
        <v>6.9960027157333426</v>
      </c>
      <c r="F14" s="109">
        <v>0.1</v>
      </c>
      <c r="G14" s="110">
        <v>7.6956029873066774</v>
      </c>
      <c r="H14" s="114">
        <v>0.65668675188056402</v>
      </c>
      <c r="J14" s="6"/>
    </row>
    <row r="15" spans="1:11" x14ac:dyDescent="0.2">
      <c r="A15" s="107">
        <v>2029</v>
      </c>
      <c r="B15" s="107">
        <v>9</v>
      </c>
      <c r="C15" s="108">
        <v>0.7149322508405066</v>
      </c>
      <c r="D15" s="108">
        <v>0.93417706077384166</v>
      </c>
      <c r="E15" s="108">
        <v>7.9301797765071846</v>
      </c>
      <c r="F15" s="109">
        <v>0.1</v>
      </c>
      <c r="G15" s="110">
        <v>8.7231977541579031</v>
      </c>
      <c r="H15" s="114">
        <v>0.671362515855918</v>
      </c>
      <c r="J15" s="6"/>
    </row>
    <row r="16" spans="1:11" x14ac:dyDescent="0.2">
      <c r="A16" s="111">
        <v>2030</v>
      </c>
      <c r="B16" s="107">
        <v>10</v>
      </c>
      <c r="C16" s="108">
        <v>0.70356791294168164</v>
      </c>
      <c r="D16" s="108">
        <v>0.95058481742366419</v>
      </c>
      <c r="E16" s="108">
        <v>8.8807645939308486</v>
      </c>
      <c r="F16" s="109">
        <v>0.1</v>
      </c>
      <c r="G16" s="110">
        <v>9.7688410533239338</v>
      </c>
      <c r="H16" s="114">
        <v>0.70168753835864495</v>
      </c>
      <c r="J16" s="6"/>
    </row>
    <row r="17" spans="1:10" x14ac:dyDescent="0.2">
      <c r="A17" s="107">
        <v>2031</v>
      </c>
      <c r="B17" s="107">
        <v>11</v>
      </c>
      <c r="C17" s="108">
        <v>0.6851545172570157</v>
      </c>
      <c r="D17" s="108">
        <v>0.95718065546171105</v>
      </c>
      <c r="E17" s="108">
        <v>9.8379452493925594</v>
      </c>
      <c r="F17" s="109">
        <v>0.1</v>
      </c>
      <c r="G17" s="110">
        <v>10.821739774331816</v>
      </c>
      <c r="H17" s="114">
        <v>0.71753017552309395</v>
      </c>
      <c r="J17" s="6"/>
    </row>
    <row r="18" spans="1:10" x14ac:dyDescent="0.2">
      <c r="A18" s="107">
        <v>2032</v>
      </c>
      <c r="B18" s="107">
        <v>12</v>
      </c>
      <c r="C18" s="108">
        <v>0.67625670713780228</v>
      </c>
      <c r="D18" s="108">
        <v>0.97687166301819628</v>
      </c>
      <c r="E18" s="108">
        <v>10.814816912410755</v>
      </c>
      <c r="F18" s="109">
        <v>0.1</v>
      </c>
      <c r="G18" s="110">
        <v>11.896298603651832</v>
      </c>
      <c r="H18" s="114">
        <v>0.73540219867662504</v>
      </c>
      <c r="J18" s="6"/>
    </row>
    <row r="19" spans="1:10" x14ac:dyDescent="0.2">
      <c r="A19" s="107">
        <v>2033</v>
      </c>
      <c r="B19" s="107">
        <v>13</v>
      </c>
      <c r="C19" s="108">
        <v>0.66587008865652375</v>
      </c>
      <c r="D19" s="108">
        <v>0.99457141181766762</v>
      </c>
      <c r="E19" s="108">
        <v>11.809388324228422</v>
      </c>
      <c r="F19" s="109">
        <v>0.1</v>
      </c>
      <c r="G19" s="110">
        <v>12.990327156651265</v>
      </c>
      <c r="H19" s="114">
        <v>0.75283800222888697</v>
      </c>
      <c r="J19" s="6"/>
    </row>
    <row r="20" spans="1:10" x14ac:dyDescent="0.2">
      <c r="A20" s="107">
        <v>2034</v>
      </c>
      <c r="B20" s="107">
        <v>14</v>
      </c>
      <c r="C20" s="108">
        <v>0.64881311732878166</v>
      </c>
      <c r="D20" s="108">
        <v>1.0020436159092017</v>
      </c>
      <c r="E20" s="108">
        <v>12.811431940137624</v>
      </c>
      <c r="F20" s="109">
        <v>0.1</v>
      </c>
      <c r="G20" s="110">
        <v>14.092575134151387</v>
      </c>
      <c r="H20" s="114">
        <v>0.77211629283704597</v>
      </c>
      <c r="J20" s="6"/>
    </row>
    <row r="21" spans="1:10" x14ac:dyDescent="0.2">
      <c r="A21" s="107">
        <v>2035</v>
      </c>
      <c r="B21" s="107">
        <v>15</v>
      </c>
      <c r="C21" s="108">
        <v>0.63835970106897866</v>
      </c>
      <c r="D21" s="108">
        <v>1.0194196609012849</v>
      </c>
      <c r="E21" s="108">
        <v>13.830851601038908</v>
      </c>
      <c r="F21" s="109">
        <v>0.1</v>
      </c>
      <c r="G21" s="110">
        <v>15.213936761142801</v>
      </c>
      <c r="H21" s="114">
        <v>0.81064038086745605</v>
      </c>
      <c r="J21" s="6"/>
    </row>
    <row r="22" spans="1:10" x14ac:dyDescent="0.2">
      <c r="A22" s="107">
        <v>2036</v>
      </c>
      <c r="B22" s="107">
        <v>16</v>
      </c>
      <c r="C22" s="108">
        <v>0.62567375799839731</v>
      </c>
      <c r="D22" s="108">
        <v>1.0331324949498273</v>
      </c>
      <c r="E22" s="108">
        <v>14.863984095988735</v>
      </c>
      <c r="F22" s="109">
        <v>0.1</v>
      </c>
      <c r="G22" s="110">
        <v>16.350382505587611</v>
      </c>
      <c r="H22" s="114">
        <v>0.83101695530386399</v>
      </c>
      <c r="J22" s="6"/>
    </row>
    <row r="23" spans="1:10" x14ac:dyDescent="0.2">
      <c r="A23" s="107">
        <v>2037</v>
      </c>
      <c r="B23" s="107">
        <v>17</v>
      </c>
      <c r="C23" s="108">
        <v>0.61894833994618093</v>
      </c>
      <c r="D23" s="108">
        <v>1.0567761970079774</v>
      </c>
      <c r="E23" s="108">
        <v>15.920760292996713</v>
      </c>
      <c r="F23" s="109">
        <v>0.1</v>
      </c>
      <c r="G23" s="110">
        <v>17.512836322296387</v>
      </c>
      <c r="H23" s="114">
        <v>0.85329665766642104</v>
      </c>
      <c r="J23" s="6"/>
    </row>
    <row r="24" spans="1:10" x14ac:dyDescent="0.2">
      <c r="A24" s="107">
        <v>2038</v>
      </c>
      <c r="B24" s="107">
        <v>18</v>
      </c>
      <c r="C24" s="108">
        <v>0.61107179398866485</v>
      </c>
      <c r="D24" s="108">
        <v>1.078801140190391</v>
      </c>
      <c r="E24" s="108">
        <v>16.999561433187104</v>
      </c>
      <c r="F24" s="109">
        <v>0.1</v>
      </c>
      <c r="G24" s="110">
        <v>18.699517576505816</v>
      </c>
      <c r="H24" s="114">
        <v>0.87508084147130905</v>
      </c>
      <c r="J24" s="6"/>
    </row>
    <row r="25" spans="1:10" x14ac:dyDescent="0.2">
      <c r="A25" s="107">
        <v>2039</v>
      </c>
      <c r="B25" s="107">
        <v>19</v>
      </c>
      <c r="C25" s="108">
        <v>0.60374811403143069</v>
      </c>
      <c r="D25" s="108">
        <v>1.1021113748980613</v>
      </c>
      <c r="E25" s="108">
        <v>18.101672808085166</v>
      </c>
      <c r="F25" s="109">
        <v>0.1</v>
      </c>
      <c r="G25" s="110">
        <v>19.911840088893683</v>
      </c>
      <c r="H25" s="114">
        <v>0.897067740402681</v>
      </c>
      <c r="J25" s="6"/>
    </row>
    <row r="26" spans="1:10" x14ac:dyDescent="0.2">
      <c r="A26" s="111">
        <v>2040</v>
      </c>
      <c r="B26" s="107">
        <v>20</v>
      </c>
      <c r="C26" s="108">
        <v>0.59154544035996659</v>
      </c>
      <c r="D26" s="108">
        <v>1.1165504413430951</v>
      </c>
      <c r="E26" s="108">
        <v>19.218223249428259</v>
      </c>
      <c r="F26" s="109">
        <v>0.1</v>
      </c>
      <c r="G26" s="110">
        <v>21.140045574371086</v>
      </c>
      <c r="H26" s="114">
        <v>0.91930355234543903</v>
      </c>
      <c r="J26" s="6"/>
    </row>
    <row r="27" spans="1:10" x14ac:dyDescent="0.2">
      <c r="A27" s="107">
        <v>2041</v>
      </c>
      <c r="B27" s="107">
        <v>21</v>
      </c>
      <c r="C27" s="108">
        <v>0.58353612105141783</v>
      </c>
      <c r="D27" s="108">
        <v>1.1388814501699571</v>
      </c>
      <c r="E27" s="108">
        <v>20.357104699598217</v>
      </c>
      <c r="F27" s="109">
        <v>0.1</v>
      </c>
      <c r="G27" s="110">
        <v>22.392815169558041</v>
      </c>
      <c r="H27" s="114">
        <v>0.96256067436903203</v>
      </c>
      <c r="J27" s="6"/>
    </row>
    <row r="28" spans="1:10" x14ac:dyDescent="0.2">
      <c r="A28" s="107">
        <v>2042</v>
      </c>
      <c r="B28" s="107">
        <v>22</v>
      </c>
      <c r="C28" s="108">
        <v>0.57563524513776232</v>
      </c>
      <c r="D28" s="108">
        <v>1.1616590791733563</v>
      </c>
      <c r="E28" s="108">
        <v>21.518763778771575</v>
      </c>
      <c r="F28" s="109">
        <v>0.1</v>
      </c>
      <c r="G28" s="110">
        <v>23.670640156648734</v>
      </c>
      <c r="H28" s="114">
        <v>0.98552212265613304</v>
      </c>
      <c r="J28" s="6"/>
    </row>
    <row r="29" spans="1:10" x14ac:dyDescent="0.2">
      <c r="A29" s="107">
        <v>2043</v>
      </c>
      <c r="B29" s="107">
        <v>23</v>
      </c>
      <c r="C29" s="108">
        <v>0.56784134433318922</v>
      </c>
      <c r="D29" s="108">
        <v>1.1848922607568235</v>
      </c>
      <c r="E29" s="108">
        <v>22.703656039528397</v>
      </c>
      <c r="F29" s="109">
        <v>0.1</v>
      </c>
      <c r="G29" s="110">
        <v>24.97402164348124</v>
      </c>
      <c r="H29" s="114">
        <v>1.0086464310452701</v>
      </c>
      <c r="J29" s="6"/>
    </row>
    <row r="30" spans="1:10" x14ac:dyDescent="0.2">
      <c r="A30" s="107">
        <v>2044</v>
      </c>
      <c r="B30" s="107">
        <v>24</v>
      </c>
      <c r="C30" s="108">
        <v>0.56015297023196597</v>
      </c>
      <c r="D30" s="108">
        <v>1.2085901059719599</v>
      </c>
      <c r="E30" s="108">
        <v>23.912246145500358</v>
      </c>
      <c r="F30" s="109">
        <v>0.1</v>
      </c>
      <c r="G30" s="110">
        <v>26.303470760050395</v>
      </c>
      <c r="H30" s="114">
        <v>1.03195880055061</v>
      </c>
      <c r="J30" s="6"/>
    </row>
    <row r="31" spans="1:10" x14ac:dyDescent="0.2">
      <c r="A31" s="107">
        <v>2045</v>
      </c>
      <c r="B31" s="107">
        <v>25</v>
      </c>
      <c r="C31" s="108">
        <v>0.55256869403927023</v>
      </c>
      <c r="D31" s="108">
        <v>1.2327619080913992</v>
      </c>
      <c r="E31" s="108">
        <v>25.145008053591756</v>
      </c>
      <c r="F31" s="109">
        <v>0.1</v>
      </c>
      <c r="G31" s="110">
        <v>27.659508858950932</v>
      </c>
      <c r="H31" s="114">
        <v>1.0554809412422199</v>
      </c>
      <c r="J31" s="6"/>
    </row>
    <row r="32" spans="1:10" x14ac:dyDescent="0.2">
      <c r="A32" s="107">
        <v>2046</v>
      </c>
      <c r="B32" s="107">
        <v>26</v>
      </c>
      <c r="C32" s="108">
        <v>0.54508710630566315</v>
      </c>
      <c r="D32" s="108">
        <v>1.2574171462532271</v>
      </c>
      <c r="E32" s="108">
        <v>26.402425199844984</v>
      </c>
      <c r="F32" s="109">
        <v>0.1</v>
      </c>
      <c r="G32" s="110">
        <v>29.042667719829485</v>
      </c>
      <c r="H32" s="114">
        <v>1.1026933043184499</v>
      </c>
      <c r="J32" s="6"/>
    </row>
    <row r="33" spans="1:11" x14ac:dyDescent="0.2">
      <c r="A33" s="107">
        <v>2047</v>
      </c>
      <c r="B33" s="107">
        <v>27</v>
      </c>
      <c r="C33" s="108">
        <v>0.53770681666516085</v>
      </c>
      <c r="D33" s="108">
        <v>1.2825654891782916</v>
      </c>
      <c r="E33" s="108">
        <v>27.684990689023277</v>
      </c>
      <c r="F33" s="109">
        <v>0.1</v>
      </c>
      <c r="G33" s="110">
        <v>30.453489757925606</v>
      </c>
      <c r="H33" s="114">
        <v>1.1272110200121499</v>
      </c>
      <c r="J33" s="6"/>
    </row>
    <row r="34" spans="1:11" x14ac:dyDescent="0.2">
      <c r="A34" s="107">
        <v>2048</v>
      </c>
      <c r="B34" s="107">
        <v>28</v>
      </c>
      <c r="C34" s="108">
        <v>0.53042645357685103</v>
      </c>
      <c r="D34" s="108">
        <v>1.3082167989618574</v>
      </c>
      <c r="E34" s="108">
        <v>28.993207487985135</v>
      </c>
      <c r="F34" s="109">
        <v>0.1</v>
      </c>
      <c r="G34" s="110">
        <v>31.892528236783651</v>
      </c>
      <c r="H34" s="114">
        <v>1.1519943575740099</v>
      </c>
      <c r="J34" s="6"/>
    </row>
    <row r="35" spans="1:11" x14ac:dyDescent="0.2">
      <c r="A35" s="107">
        <v>2049</v>
      </c>
      <c r="B35" s="107">
        <v>29</v>
      </c>
      <c r="C35" s="108">
        <v>0.52324466407000791</v>
      </c>
      <c r="D35" s="108">
        <v>1.3343811349410946</v>
      </c>
      <c r="E35" s="108">
        <v>30.327588622926228</v>
      </c>
      <c r="F35" s="109">
        <v>0.1</v>
      </c>
      <c r="G35" s="110">
        <v>33.360347485218853</v>
      </c>
      <c r="H35" s="114">
        <v>1.1770567561259799</v>
      </c>
      <c r="J35" s="6"/>
    </row>
    <row r="36" spans="1:11" x14ac:dyDescent="0.2">
      <c r="A36" s="111">
        <v>2050</v>
      </c>
      <c r="B36" s="107">
        <v>30</v>
      </c>
      <c r="C36" s="108">
        <v>0.51616011349265778</v>
      </c>
      <c r="D36" s="108">
        <v>1.3610687576399165</v>
      </c>
      <c r="E36" s="108">
        <v>31.688657380566145</v>
      </c>
      <c r="F36" s="109">
        <v>0.1</v>
      </c>
      <c r="G36" s="110">
        <v>34.857523118622765</v>
      </c>
      <c r="H36" s="114">
        <v>1.2024103291102399</v>
      </c>
      <c r="J36" s="6"/>
    </row>
    <row r="37" spans="1:11" x14ac:dyDescent="0.2">
      <c r="A37" s="107">
        <v>2051</v>
      </c>
      <c r="B37" s="107">
        <v>31</v>
      </c>
      <c r="C37" s="108">
        <v>0.50917148526355016</v>
      </c>
      <c r="D37" s="108">
        <v>1.3882901327927148</v>
      </c>
      <c r="E37" s="108">
        <v>33.07694751335886</v>
      </c>
      <c r="F37" s="109">
        <v>0.1</v>
      </c>
      <c r="G37" s="110">
        <v>36.384642264694747</v>
      </c>
      <c r="H37" s="114">
        <v>1.2541951448828901</v>
      </c>
      <c r="J37" s="6"/>
    </row>
    <row r="38" spans="1:11" x14ac:dyDescent="0.2">
      <c r="A38" s="107">
        <v>2052</v>
      </c>
      <c r="B38" s="107">
        <v>32</v>
      </c>
      <c r="C38" s="108">
        <v>0.50227748062748667</v>
      </c>
      <c r="D38" s="108">
        <v>1.4160559354485691</v>
      </c>
      <c r="E38" s="108">
        <v>34.493003448807428</v>
      </c>
      <c r="F38" s="109">
        <v>0.1</v>
      </c>
      <c r="G38" s="110">
        <v>37.942303793688176</v>
      </c>
      <c r="H38" s="114">
        <v>1.2807156499932999</v>
      </c>
      <c r="J38" s="6"/>
    </row>
    <row r="39" spans="1:11" x14ac:dyDescent="0.2">
      <c r="A39" s="107">
        <v>2053</v>
      </c>
      <c r="B39" s="107">
        <v>33</v>
      </c>
      <c r="C39" s="108">
        <v>0.49547681841396168</v>
      </c>
      <c r="D39" s="108">
        <v>1.4443770541575405</v>
      </c>
      <c r="E39" s="108">
        <v>35.93738050296497</v>
      </c>
      <c r="F39" s="109">
        <v>0.1</v>
      </c>
      <c r="G39" s="110">
        <v>39.531118553261472</v>
      </c>
      <c r="H39" s="114">
        <v>1.30756451467569</v>
      </c>
      <c r="J39" s="6"/>
    </row>
    <row r="40" spans="1:11" x14ac:dyDescent="0.2">
      <c r="A40" s="107">
        <v>2054</v>
      </c>
      <c r="B40" s="107">
        <v>34</v>
      </c>
      <c r="C40" s="108">
        <v>0.48876823479907244</v>
      </c>
      <c r="D40" s="108">
        <v>1.4732645952406913</v>
      </c>
      <c r="E40" s="108">
        <v>37.410645098205663</v>
      </c>
      <c r="F40" s="109">
        <v>0.1</v>
      </c>
      <c r="G40" s="110">
        <v>41.151709608026231</v>
      </c>
      <c r="H40" s="114">
        <v>1.33475052162326</v>
      </c>
      <c r="J40" s="10"/>
      <c r="K40" s="6"/>
    </row>
    <row r="41" spans="1:11" x14ac:dyDescent="0.2">
      <c r="A41" s="107">
        <v>2055</v>
      </c>
      <c r="B41" s="107">
        <v>35</v>
      </c>
      <c r="C41" s="108">
        <v>0.48215048307065178</v>
      </c>
      <c r="D41" s="108">
        <v>1.5027298871455053</v>
      </c>
      <c r="E41" s="108">
        <v>38.913374985351169</v>
      </c>
      <c r="F41" s="109">
        <v>0.1</v>
      </c>
      <c r="G41" s="110">
        <v>42.804712483886291</v>
      </c>
      <c r="H41" s="114">
        <v>1.3622818643825101</v>
      </c>
      <c r="J41" s="10"/>
      <c r="K41" s="6"/>
    </row>
    <row r="42" spans="1:11" x14ac:dyDescent="0.2">
      <c r="A42" s="107">
        <v>2056</v>
      </c>
      <c r="B42" s="107">
        <v>36</v>
      </c>
      <c r="C42" s="108">
        <v>0.47562233339658105</v>
      </c>
      <c r="D42" s="108">
        <v>1.5327844848884153</v>
      </c>
      <c r="E42" s="108">
        <v>40.446159470239586</v>
      </c>
      <c r="F42" s="109">
        <v>0.1</v>
      </c>
      <c r="G42" s="110">
        <v>44.490775417263549</v>
      </c>
      <c r="H42" s="114">
        <v>1.3901662306967699</v>
      </c>
      <c r="J42" s="10"/>
      <c r="K42" s="6"/>
    </row>
    <row r="43" spans="1:11" x14ac:dyDescent="0.2">
      <c r="A43" s="107">
        <v>2057</v>
      </c>
      <c r="B43" s="107">
        <v>37</v>
      </c>
      <c r="C43" s="108">
        <v>0.46918257259624058</v>
      </c>
      <c r="D43" s="108">
        <v>1.5634401745861837</v>
      </c>
      <c r="E43" s="108">
        <v>42.009599644825769</v>
      </c>
      <c r="F43" s="109">
        <v>0.1</v>
      </c>
      <c r="G43" s="110">
        <v>46.210559609308348</v>
      </c>
      <c r="H43" s="114">
        <v>1.41841087242749</v>
      </c>
      <c r="J43" s="10"/>
      <c r="K43" s="6"/>
    </row>
    <row r="44" spans="1:11" x14ac:dyDescent="0.2">
      <c r="A44" s="107">
        <v>2058</v>
      </c>
      <c r="B44" s="107">
        <v>38</v>
      </c>
      <c r="C44" s="108">
        <v>0.46283000391505358</v>
      </c>
      <c r="D44" s="108">
        <v>1.5947089780779073</v>
      </c>
      <c r="E44" s="108">
        <v>43.604308622903673</v>
      </c>
      <c r="F44" s="109">
        <v>0.1</v>
      </c>
      <c r="G44" s="110">
        <v>47.964739485194045</v>
      </c>
      <c r="H44" s="114">
        <v>1.4470226645295901</v>
      </c>
      <c r="J44" s="10"/>
      <c r="K44" s="6"/>
    </row>
    <row r="45" spans="1:11" x14ac:dyDescent="0.2">
      <c r="A45" s="107">
        <v>2059</v>
      </c>
      <c r="B45" s="107">
        <v>39</v>
      </c>
      <c r="C45" s="108">
        <v>0.45656344680208383</v>
      </c>
      <c r="D45" s="108">
        <v>1.6266031576394655</v>
      </c>
      <c r="E45" s="108">
        <v>45.230911780543138</v>
      </c>
      <c r="F45" s="109">
        <v>0.1</v>
      </c>
      <c r="G45" s="110">
        <v>49.754002958597454</v>
      </c>
      <c r="H45" s="114">
        <v>1.4760081550492099</v>
      </c>
      <c r="J45" s="10"/>
      <c r="K45" s="6"/>
    </row>
    <row r="46" spans="1:11" x14ac:dyDescent="0.2">
      <c r="A46" s="111">
        <v>2060</v>
      </c>
      <c r="B46" s="107">
        <v>40</v>
      </c>
      <c r="C46" s="108">
        <v>0.45038173669064363</v>
      </c>
      <c r="D46" s="108">
        <v>1.6591352207922549</v>
      </c>
      <c r="E46" s="108">
        <v>46.890047001335397</v>
      </c>
      <c r="F46" s="109">
        <v>0.1</v>
      </c>
      <c r="G46" s="110">
        <v>51.579051701468941</v>
      </c>
      <c r="H46" s="114">
        <v>1.5053736077183399</v>
      </c>
      <c r="J46" s="10"/>
      <c r="K46" s="6"/>
    </row>
    <row r="47" spans="1:11" x14ac:dyDescent="0.2">
      <c r="A47" s="107">
        <v>2061</v>
      </c>
      <c r="B47" s="107">
        <v>41</v>
      </c>
      <c r="C47" s="108">
        <v>0.44428372478187284</v>
      </c>
      <c r="D47" s="108">
        <v>1.6923179252081</v>
      </c>
      <c r="E47" s="108">
        <v>48.582364926543498</v>
      </c>
      <c r="F47" s="109">
        <v>0.1</v>
      </c>
      <c r="G47" s="110">
        <v>53.440601419197854</v>
      </c>
      <c r="H47" s="114">
        <v>1.53512503841349</v>
      </c>
      <c r="J47" s="10"/>
      <c r="K47" s="6"/>
    </row>
    <row r="48" spans="1:11" x14ac:dyDescent="0.2">
      <c r="A48" s="107">
        <v>2062</v>
      </c>
      <c r="B48" s="107">
        <v>42</v>
      </c>
      <c r="C48" s="108">
        <v>0.43826827783124789</v>
      </c>
      <c r="D48" s="108">
        <v>1.7261642837122619</v>
      </c>
      <c r="E48" s="108">
        <v>50.308529210255763</v>
      </c>
      <c r="F48" s="109">
        <v>0.1</v>
      </c>
      <c r="G48" s="110">
        <v>55.339382131281347</v>
      </c>
      <c r="H48" s="114">
        <v>1.5652682465040999</v>
      </c>
      <c r="J48" s="10"/>
      <c r="K48" s="6"/>
    </row>
    <row r="49" spans="1:11" x14ac:dyDescent="0.2">
      <c r="A49" s="107">
        <v>2063</v>
      </c>
      <c r="B49" s="107">
        <v>43</v>
      </c>
      <c r="C49" s="108">
        <v>0.43233427793798146</v>
      </c>
      <c r="D49" s="108">
        <v>1.7606875693865072</v>
      </c>
      <c r="E49" s="108">
        <v>52.069216779642268</v>
      </c>
      <c r="F49" s="109">
        <v>0.1</v>
      </c>
      <c r="G49" s="110">
        <v>57.2761384576065</v>
      </c>
      <c r="H49" s="114">
        <v>1.5958088419255401</v>
      </c>
      <c r="J49" s="10"/>
      <c r="K49" s="6"/>
    </row>
    <row r="50" spans="1:11" x14ac:dyDescent="0.2">
      <c r="A50" s="107">
        <v>2064</v>
      </c>
      <c r="B50" s="107">
        <v>44</v>
      </c>
      <c r="C50" s="108">
        <v>0.42648062233727368</v>
      </c>
      <c r="D50" s="108">
        <v>1.7959013207742374</v>
      </c>
      <c r="E50" s="108">
        <v>53.865118100416503</v>
      </c>
      <c r="F50" s="109">
        <v>0.1</v>
      </c>
      <c r="G50" s="110">
        <v>59.251629910458156</v>
      </c>
      <c r="H50" s="114">
        <v>1.62675226865943</v>
      </c>
      <c r="J50" s="10"/>
      <c r="K50" s="6"/>
    </row>
    <row r="51" spans="1:11" x14ac:dyDescent="0.2">
      <c r="A51" s="107">
        <v>2065</v>
      </c>
      <c r="B51" s="107">
        <v>45</v>
      </c>
      <c r="C51" s="108">
        <v>0.42070622319537654</v>
      </c>
      <c r="D51" s="108">
        <v>1.8318193471897222</v>
      </c>
      <c r="E51" s="108">
        <v>55.696937447606224</v>
      </c>
      <c r="F51" s="109">
        <v>0.1</v>
      </c>
      <c r="G51" s="110">
        <v>61.266631192366852</v>
      </c>
      <c r="H51" s="114">
        <v>1.65810382518273</v>
      </c>
      <c r="J51" s="10"/>
      <c r="K51" s="6"/>
    </row>
    <row r="52" spans="1:11" x14ac:dyDescent="0.2">
      <c r="A52" s="6"/>
      <c r="B52" s="6"/>
      <c r="C52" s="6"/>
      <c r="D52" s="6"/>
      <c r="E52" s="6"/>
      <c r="F52" s="6"/>
      <c r="G52" s="6"/>
      <c r="H52" s="6"/>
      <c r="J52" s="10"/>
      <c r="K52" s="6"/>
    </row>
    <row r="53" spans="1:11" x14ac:dyDescent="0.2">
      <c r="A53" s="11" t="s">
        <v>21</v>
      </c>
      <c r="B53" s="6"/>
      <c r="C53" s="6"/>
      <c r="D53" s="6"/>
      <c r="E53" s="12">
        <v>3.4000000000000002E-2</v>
      </c>
      <c r="F53" s="12"/>
      <c r="G53" s="12"/>
      <c r="H53" s="12"/>
      <c r="J53" s="10"/>
      <c r="K53" s="6"/>
    </row>
    <row r="54" spans="1:11" x14ac:dyDescent="0.2">
      <c r="C54" s="7" t="s">
        <v>22</v>
      </c>
      <c r="E54" s="13">
        <v>3.4000000000000002E-2</v>
      </c>
      <c r="J54" s="10"/>
      <c r="K54" s="6"/>
    </row>
    <row r="55" spans="1:11" x14ac:dyDescent="0.2">
      <c r="C55" s="7" t="s">
        <v>23</v>
      </c>
      <c r="E55" s="14">
        <v>4.1700000000000001E-2</v>
      </c>
      <c r="I55" s="6"/>
      <c r="J55" s="6"/>
      <c r="K55" s="6"/>
    </row>
    <row r="56" spans="1:11" x14ac:dyDescent="0.2">
      <c r="C56" s="7" t="s">
        <v>24</v>
      </c>
      <c r="E56" s="15">
        <v>0.02</v>
      </c>
      <c r="F56" s="16" t="s">
        <v>25</v>
      </c>
      <c r="G56" s="16"/>
      <c r="H56" s="16"/>
      <c r="I56" s="6"/>
      <c r="J56" s="6"/>
      <c r="K56" s="6"/>
    </row>
  </sheetData>
  <mergeCells count="4">
    <mergeCell ref="A1:I1"/>
    <mergeCell ref="A2:I2"/>
    <mergeCell ref="A3:I3"/>
    <mergeCell ref="A4:I4"/>
  </mergeCells>
  <phoneticPr fontId="6" type="noConversion"/>
  <pageMargins left="0.75" right="0.75" top="1" bottom="1" header="0.5" footer="0.5"/>
  <pageSetup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 FIRST YEAR</vt:lpstr>
      <vt:lpstr>APP 2885</vt:lpstr>
      <vt:lpstr>AC</vt:lpstr>
      <vt:lpstr>'TOTAL FIRST YEAR'!Print_Area</vt:lpstr>
    </vt:vector>
  </TitlesOfParts>
  <Company>An MDU Resources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keywords>Unrestricted</cp:keywords>
  <cp:lastModifiedBy>Storvick, Jon</cp:lastModifiedBy>
  <cp:lastPrinted>2017-01-26T18:03:28Z</cp:lastPrinted>
  <dcterms:created xsi:type="dcterms:W3CDTF">2009-05-07T23:09:45Z</dcterms:created>
  <dcterms:modified xsi:type="dcterms:W3CDTF">2022-04-20T00:43:00Z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ID">
    <vt:lpwstr>0</vt:lpwstr>
  </property>
  <property fmtid="{D5CDD505-2E9C-101B-9397-08002B2CF9AE}" pid="3" name="checkedProgramsCount">
    <vt:i4>0</vt:i4>
  </property>
  <property fmtid="{D5CDD505-2E9C-101B-9397-08002B2CF9AE}" pid="4" name="LM SIP Document Sensitivity">
    <vt:lpwstr/>
  </property>
  <property fmtid="{D5CDD505-2E9C-101B-9397-08002B2CF9AE}" pid="5" name="Document Author">
    <vt:lpwstr>ACCT04\e320856</vt:lpwstr>
  </property>
  <property fmtid="{D5CDD505-2E9C-101B-9397-08002B2CF9AE}" pid="6" name="Document Sensitivity">
    <vt:lpwstr>1</vt:lpwstr>
  </property>
  <property fmtid="{D5CDD505-2E9C-101B-9397-08002B2CF9AE}" pid="7" name="ThirdParty">
    <vt:lpwstr/>
  </property>
  <property fmtid="{D5CDD505-2E9C-101B-9397-08002B2CF9AE}" pid="8" name="OCI Restriction">
    <vt:bool>false</vt:bool>
  </property>
  <property fmtid="{D5CDD505-2E9C-101B-9397-08002B2CF9AE}" pid="9" name="OCI Additional Info">
    <vt:lpwstr/>
  </property>
  <property fmtid="{D5CDD505-2E9C-101B-9397-08002B2CF9AE}" pid="10" name="Allow Header Overwrite">
    <vt:bool>false</vt:bool>
  </property>
  <property fmtid="{D5CDD505-2E9C-101B-9397-08002B2CF9AE}" pid="11" name="Allow Footer Overwrite">
    <vt:bool>false</vt:bool>
  </property>
  <property fmtid="{D5CDD505-2E9C-101B-9397-08002B2CF9AE}" pid="12" name="Multiple Selected">
    <vt:lpwstr>-1</vt:lpwstr>
  </property>
  <property fmtid="{D5CDD505-2E9C-101B-9397-08002B2CF9AE}" pid="13" name="SIPLongWording">
    <vt:lpwstr>_x000d_
_x000d_
</vt:lpwstr>
  </property>
  <property fmtid="{D5CDD505-2E9C-101B-9397-08002B2CF9AE}" pid="14" name="ExpCountry">
    <vt:lpwstr/>
  </property>
</Properties>
</file>