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66925"/>
  <xr:revisionPtr revIDLastSave="0" documentId="13_ncr:1_{8021B837-C2B9-4E72-981A-696AC9B40F23}" xr6:coauthVersionLast="47" xr6:coauthVersionMax="47" xr10:uidLastSave="{00000000-0000-0000-0000-000000000000}"/>
  <bookViews>
    <workbookView xWindow="5565" yWindow="345" windowWidth="29640" windowHeight="17025" xr2:uid="{00000000-000D-0000-FFFF-FFFF00000000}"/>
  </bookViews>
  <sheets>
    <sheet name="Total First Year" sheetId="1" r:id="rId1"/>
    <sheet name="APP 2885" sheetId="2" r:id="rId2"/>
  </sheets>
  <definedNames>
    <definedName name="_xlnm._FilterDatabase" localSheetId="0" hidden="1">'Total First Year'!$A$4:$W$82</definedName>
    <definedName name="JR_PAGE_ANCHOR_0_1">'Total First Year'!$A$1</definedName>
    <definedName name="JR_PAGE_ANCHOR_0_2">'APP 2885'!$A$1</definedName>
    <definedName name="JR_PAGE_ANCHOR_0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6" i="1" l="1"/>
  <c r="M65" i="1"/>
  <c r="T76" i="1" l="1"/>
  <c r="Q76" i="1"/>
  <c r="O65" i="1"/>
  <c r="O76" i="1"/>
  <c r="M76" i="1"/>
  <c r="V76" i="1" s="1"/>
  <c r="L76" i="1"/>
  <c r="J76" i="1"/>
  <c r="G7" i="1"/>
  <c r="M7" i="1" s="1"/>
  <c r="I7" i="1"/>
  <c r="J7" i="1"/>
  <c r="Q7" i="1"/>
  <c r="G8" i="1"/>
  <c r="M8" i="1" s="1"/>
  <c r="I8" i="1"/>
  <c r="J8" i="1"/>
  <c r="Q8" i="1"/>
  <c r="G9" i="1"/>
  <c r="M9" i="1" s="1"/>
  <c r="I9" i="1"/>
  <c r="K9" i="1" s="1"/>
  <c r="J9" i="1"/>
  <c r="Q9" i="1"/>
  <c r="G10" i="1"/>
  <c r="M10" i="1" s="1"/>
  <c r="I10" i="1"/>
  <c r="K10" i="1" s="1"/>
  <c r="U10" i="1" s="1"/>
  <c r="J10" i="1"/>
  <c r="Q10" i="1"/>
  <c r="G11" i="1"/>
  <c r="M11" i="1" s="1"/>
  <c r="I11" i="1"/>
  <c r="K11" i="1" s="1"/>
  <c r="J11" i="1"/>
  <c r="Q11" i="1"/>
  <c r="G12" i="1"/>
  <c r="M12" i="1" s="1"/>
  <c r="I12" i="1"/>
  <c r="J12" i="1"/>
  <c r="Q12" i="1"/>
  <c r="G13" i="1"/>
  <c r="M13" i="1" s="1"/>
  <c r="I13" i="1"/>
  <c r="K13" i="1" s="1"/>
  <c r="J13" i="1"/>
  <c r="Q13" i="1"/>
  <c r="G14" i="1"/>
  <c r="M14" i="1" s="1"/>
  <c r="I14" i="1"/>
  <c r="K14" i="1" s="1"/>
  <c r="U14" i="1" s="1"/>
  <c r="J14" i="1"/>
  <c r="Q14" i="1"/>
  <c r="G15" i="1"/>
  <c r="M15" i="1" s="1"/>
  <c r="I15" i="1"/>
  <c r="K15" i="1" s="1"/>
  <c r="J15" i="1"/>
  <c r="Q15" i="1"/>
  <c r="G16" i="1"/>
  <c r="M16" i="1" s="1"/>
  <c r="I16" i="1"/>
  <c r="K16" i="1" s="1"/>
  <c r="J16" i="1"/>
  <c r="Q16" i="1"/>
  <c r="G17" i="1"/>
  <c r="M17" i="1" s="1"/>
  <c r="I17" i="1"/>
  <c r="J17" i="1"/>
  <c r="K17" i="1" s="1"/>
  <c r="Q17" i="1"/>
  <c r="G18" i="1"/>
  <c r="M18" i="1" s="1"/>
  <c r="U18" i="1" s="1"/>
  <c r="I18" i="1"/>
  <c r="J18" i="1"/>
  <c r="K18" i="1" s="1"/>
  <c r="Q18" i="1"/>
  <c r="G19" i="1"/>
  <c r="M19" i="1" s="1"/>
  <c r="I19" i="1"/>
  <c r="K19" i="1" s="1"/>
  <c r="J19" i="1"/>
  <c r="Q19" i="1"/>
  <c r="G20" i="1"/>
  <c r="M20" i="1" s="1"/>
  <c r="I20" i="1"/>
  <c r="K20" i="1" s="1"/>
  <c r="J20" i="1"/>
  <c r="Q20" i="1"/>
  <c r="G21" i="1"/>
  <c r="M21" i="1" s="1"/>
  <c r="I21" i="1"/>
  <c r="J21" i="1"/>
  <c r="K21" i="1" s="1"/>
  <c r="Q21" i="1"/>
  <c r="G22" i="1"/>
  <c r="M22" i="1" s="1"/>
  <c r="U22" i="1" s="1"/>
  <c r="I22" i="1"/>
  <c r="J22" i="1"/>
  <c r="K22" i="1" s="1"/>
  <c r="Q22" i="1"/>
  <c r="G23" i="1"/>
  <c r="M23" i="1" s="1"/>
  <c r="I23" i="1"/>
  <c r="K23" i="1" s="1"/>
  <c r="J23" i="1"/>
  <c r="Q23" i="1"/>
  <c r="G24" i="1"/>
  <c r="M24" i="1" s="1"/>
  <c r="I24" i="1"/>
  <c r="J24" i="1"/>
  <c r="Q24" i="1"/>
  <c r="G25" i="1"/>
  <c r="M25" i="1" s="1"/>
  <c r="I25" i="1"/>
  <c r="K25" i="1" s="1"/>
  <c r="J25" i="1"/>
  <c r="Q25" i="1"/>
  <c r="G26" i="1"/>
  <c r="M26" i="1" s="1"/>
  <c r="I26" i="1"/>
  <c r="J26" i="1"/>
  <c r="K26" i="1" s="1"/>
  <c r="Q26" i="1"/>
  <c r="G27" i="1"/>
  <c r="I27" i="1"/>
  <c r="J27" i="1"/>
  <c r="M27" i="1"/>
  <c r="N27" i="1"/>
  <c r="Q27" i="1"/>
  <c r="G28" i="1"/>
  <c r="M28" i="1" s="1"/>
  <c r="I28" i="1"/>
  <c r="J28" i="1"/>
  <c r="Q28" i="1"/>
  <c r="G29" i="1"/>
  <c r="M29" i="1" s="1"/>
  <c r="I29" i="1"/>
  <c r="J29" i="1"/>
  <c r="K29" i="1" s="1"/>
  <c r="Q29" i="1"/>
  <c r="G30" i="1"/>
  <c r="M30" i="1" s="1"/>
  <c r="U30" i="1" s="1"/>
  <c r="I30" i="1"/>
  <c r="J30" i="1"/>
  <c r="K30" i="1" s="1"/>
  <c r="Q30" i="1"/>
  <c r="G31" i="1"/>
  <c r="M31" i="1" s="1"/>
  <c r="I31" i="1"/>
  <c r="J31" i="1"/>
  <c r="K31" i="1" s="1"/>
  <c r="N31" i="1"/>
  <c r="Q31" i="1"/>
  <c r="G32" i="1"/>
  <c r="M32" i="1" s="1"/>
  <c r="I32" i="1"/>
  <c r="K32" i="1" s="1"/>
  <c r="J32" i="1"/>
  <c r="Q32" i="1"/>
  <c r="G33" i="1"/>
  <c r="M33" i="1" s="1"/>
  <c r="I33" i="1"/>
  <c r="J33" i="1"/>
  <c r="K33" i="1" s="1"/>
  <c r="Q33" i="1"/>
  <c r="G34" i="1"/>
  <c r="N34" i="1" s="1"/>
  <c r="I34" i="1"/>
  <c r="J34" i="1"/>
  <c r="K34" i="1"/>
  <c r="U34" i="1" s="1"/>
  <c r="M34" i="1"/>
  <c r="Q34" i="1"/>
  <c r="G35" i="1"/>
  <c r="I35" i="1"/>
  <c r="J35" i="1"/>
  <c r="M35" i="1"/>
  <c r="N35" i="1"/>
  <c r="Q35" i="1"/>
  <c r="G36" i="1"/>
  <c r="M36" i="1" s="1"/>
  <c r="I36" i="1"/>
  <c r="K36" i="1" s="1"/>
  <c r="J36" i="1"/>
  <c r="Q36" i="1"/>
  <c r="G37" i="1"/>
  <c r="M37" i="1" s="1"/>
  <c r="I37" i="1"/>
  <c r="J37" i="1"/>
  <c r="K37" i="1" s="1"/>
  <c r="N37" i="1"/>
  <c r="Q37" i="1"/>
  <c r="G38" i="1"/>
  <c r="N38" i="1" s="1"/>
  <c r="I38" i="1"/>
  <c r="J38" i="1"/>
  <c r="K38" i="1"/>
  <c r="M38" i="1"/>
  <c r="U38" i="1" s="1"/>
  <c r="Q38" i="1"/>
  <c r="G39" i="1"/>
  <c r="I39" i="1"/>
  <c r="J39" i="1"/>
  <c r="K39" i="1" s="1"/>
  <c r="M39" i="1"/>
  <c r="N39" i="1"/>
  <c r="Q39" i="1"/>
  <c r="G40" i="1"/>
  <c r="M40" i="1" s="1"/>
  <c r="I40" i="1"/>
  <c r="K40" i="1" s="1"/>
  <c r="J40" i="1"/>
  <c r="Q40" i="1"/>
  <c r="G41" i="1"/>
  <c r="M41" i="1" s="1"/>
  <c r="I41" i="1"/>
  <c r="J41" i="1"/>
  <c r="K41" i="1" s="1"/>
  <c r="Q41" i="1"/>
  <c r="G42" i="1"/>
  <c r="M42" i="1" s="1"/>
  <c r="I42" i="1"/>
  <c r="J42" i="1"/>
  <c r="K42" i="1" s="1"/>
  <c r="Q42" i="1"/>
  <c r="G43" i="1"/>
  <c r="M43" i="1" s="1"/>
  <c r="I43" i="1"/>
  <c r="J43" i="1"/>
  <c r="Q43" i="1"/>
  <c r="G44" i="1"/>
  <c r="M44" i="1" s="1"/>
  <c r="I44" i="1"/>
  <c r="J44" i="1"/>
  <c r="Q44" i="1"/>
  <c r="G45" i="1"/>
  <c r="M45" i="1" s="1"/>
  <c r="I45" i="1"/>
  <c r="J45" i="1"/>
  <c r="K45" i="1" s="1"/>
  <c r="Q45" i="1"/>
  <c r="G46" i="1"/>
  <c r="M46" i="1" s="1"/>
  <c r="U46" i="1" s="1"/>
  <c r="I46" i="1"/>
  <c r="K46" i="1" s="1"/>
  <c r="J46" i="1"/>
  <c r="Q46" i="1"/>
  <c r="G47" i="1"/>
  <c r="M47" i="1" s="1"/>
  <c r="I47" i="1"/>
  <c r="K47" i="1" s="1"/>
  <c r="J47" i="1"/>
  <c r="Q47" i="1"/>
  <c r="G48" i="1"/>
  <c r="M48" i="1" s="1"/>
  <c r="I48" i="1"/>
  <c r="J48" i="1"/>
  <c r="Q48" i="1"/>
  <c r="G49" i="1"/>
  <c r="M49" i="1" s="1"/>
  <c r="I49" i="1"/>
  <c r="J49" i="1"/>
  <c r="K49" i="1" s="1"/>
  <c r="U49" i="1" s="1"/>
  <c r="Q49" i="1"/>
  <c r="G50" i="1"/>
  <c r="M50" i="1" s="1"/>
  <c r="U50" i="1" s="1"/>
  <c r="I50" i="1"/>
  <c r="K50" i="1" s="1"/>
  <c r="J50" i="1"/>
  <c r="Q50" i="1"/>
  <c r="G51" i="1"/>
  <c r="M51" i="1" s="1"/>
  <c r="I51" i="1"/>
  <c r="J51" i="1"/>
  <c r="Q51" i="1"/>
  <c r="G52" i="1"/>
  <c r="M52" i="1" s="1"/>
  <c r="I52" i="1"/>
  <c r="J52" i="1"/>
  <c r="Q52" i="1"/>
  <c r="G53" i="1"/>
  <c r="M53" i="1" s="1"/>
  <c r="I53" i="1"/>
  <c r="K53" i="1" s="1"/>
  <c r="U53" i="1" s="1"/>
  <c r="J53" i="1"/>
  <c r="N53" i="1"/>
  <c r="Q53" i="1"/>
  <c r="R53" i="1" s="1"/>
  <c r="G54" i="1"/>
  <c r="M54" i="1" s="1"/>
  <c r="U54" i="1" s="1"/>
  <c r="I54" i="1"/>
  <c r="J54" i="1"/>
  <c r="K54" i="1" s="1"/>
  <c r="Q54" i="1"/>
  <c r="G55" i="1"/>
  <c r="M55" i="1" s="1"/>
  <c r="I55" i="1"/>
  <c r="J55" i="1"/>
  <c r="Q55" i="1"/>
  <c r="G56" i="1"/>
  <c r="M56" i="1" s="1"/>
  <c r="I56" i="1"/>
  <c r="K56" i="1" s="1"/>
  <c r="J56" i="1"/>
  <c r="Q56" i="1"/>
  <c r="G57" i="1"/>
  <c r="M57" i="1" s="1"/>
  <c r="I57" i="1"/>
  <c r="K57" i="1" s="1"/>
  <c r="J57" i="1"/>
  <c r="N57" i="1"/>
  <c r="Q57" i="1"/>
  <c r="R57" i="1" s="1"/>
  <c r="G58" i="1"/>
  <c r="M58" i="1" s="1"/>
  <c r="I58" i="1"/>
  <c r="J58" i="1"/>
  <c r="K58" i="1" s="1"/>
  <c r="Q58" i="1"/>
  <c r="G59" i="1"/>
  <c r="M59" i="1" s="1"/>
  <c r="I59" i="1"/>
  <c r="J59" i="1"/>
  <c r="Q59" i="1"/>
  <c r="G60" i="1"/>
  <c r="M60" i="1" s="1"/>
  <c r="I60" i="1"/>
  <c r="J60" i="1"/>
  <c r="Q60" i="1"/>
  <c r="G61" i="1"/>
  <c r="M61" i="1" s="1"/>
  <c r="I61" i="1"/>
  <c r="K61" i="1" s="1"/>
  <c r="J61" i="1"/>
  <c r="Q61" i="1"/>
  <c r="G62" i="1"/>
  <c r="M62" i="1" s="1"/>
  <c r="I62" i="1"/>
  <c r="J62" i="1"/>
  <c r="K62" i="1" s="1"/>
  <c r="U62" i="1" s="1"/>
  <c r="Q62" i="1"/>
  <c r="G63" i="1"/>
  <c r="M63" i="1" s="1"/>
  <c r="I63" i="1"/>
  <c r="J63" i="1"/>
  <c r="N63" i="1"/>
  <c r="Q63" i="1"/>
  <c r="G64" i="1"/>
  <c r="M64" i="1" s="1"/>
  <c r="I64" i="1"/>
  <c r="K64" i="1" s="1"/>
  <c r="J64" i="1"/>
  <c r="Q64" i="1"/>
  <c r="G65" i="1"/>
  <c r="I65" i="1"/>
  <c r="J65" i="1"/>
  <c r="K65" i="1" s="1"/>
  <c r="Q65" i="1"/>
  <c r="U26" i="1" l="1"/>
  <c r="U41" i="1"/>
  <c r="U29" i="1"/>
  <c r="U42" i="1"/>
  <c r="U13" i="1"/>
  <c r="U9" i="1"/>
  <c r="U25" i="1"/>
  <c r="K60" i="1"/>
  <c r="R49" i="1"/>
  <c r="R61" i="1"/>
  <c r="N58" i="1"/>
  <c r="N54" i="1"/>
  <c r="R54" i="1" s="1"/>
  <c r="R50" i="1"/>
  <c r="N49" i="1"/>
  <c r="K48" i="1"/>
  <c r="N45" i="1"/>
  <c r="R45" i="1" s="1"/>
  <c r="R14" i="1"/>
  <c r="R10" i="1"/>
  <c r="N61" i="1"/>
  <c r="N55" i="1"/>
  <c r="N50" i="1"/>
  <c r="U48" i="1"/>
  <c r="N46" i="1"/>
  <c r="R46" i="1" s="1"/>
  <c r="K35" i="1"/>
  <c r="K24" i="1"/>
  <c r="R22" i="1"/>
  <c r="N21" i="1"/>
  <c r="R21" i="1" s="1"/>
  <c r="R18" i="1"/>
  <c r="N17" i="1"/>
  <c r="R17" i="1" s="1"/>
  <c r="N14" i="1"/>
  <c r="N13" i="1"/>
  <c r="K12" i="1"/>
  <c r="N10" i="1"/>
  <c r="N9" i="1"/>
  <c r="R9" i="1" s="1"/>
  <c r="K8" i="1"/>
  <c r="U8" i="1" s="1"/>
  <c r="K63" i="1"/>
  <c r="U63" i="1" s="1"/>
  <c r="K44" i="1"/>
  <c r="U44" i="1" s="1"/>
  <c r="K27" i="1"/>
  <c r="R13" i="1"/>
  <c r="R65" i="1"/>
  <c r="N62" i="1"/>
  <c r="R62" i="1" s="1"/>
  <c r="N59" i="1"/>
  <c r="N51" i="1"/>
  <c r="R51" i="1" s="1"/>
  <c r="N42" i="1"/>
  <c r="R42" i="1" s="1"/>
  <c r="N41" i="1"/>
  <c r="R41" i="1" s="1"/>
  <c r="R37" i="1"/>
  <c r="R30" i="1"/>
  <c r="R29" i="1"/>
  <c r="K28" i="1"/>
  <c r="U28" i="1" s="1"/>
  <c r="R26" i="1"/>
  <c r="N25" i="1"/>
  <c r="R25" i="1" s="1"/>
  <c r="N22" i="1"/>
  <c r="N18" i="1"/>
  <c r="U12" i="1"/>
  <c r="N19" i="1"/>
  <c r="R19" i="1" s="1"/>
  <c r="N15" i="1"/>
  <c r="R15" i="1" s="1"/>
  <c r="R11" i="1"/>
  <c r="U65" i="1"/>
  <c r="N65" i="1"/>
  <c r="N47" i="1"/>
  <c r="N43" i="1"/>
  <c r="R43" i="1" s="1"/>
  <c r="R38" i="1"/>
  <c r="R34" i="1"/>
  <c r="N33" i="1"/>
  <c r="R33" i="1" s="1"/>
  <c r="N30" i="1"/>
  <c r="N29" i="1"/>
  <c r="N26" i="1"/>
  <c r="R23" i="1"/>
  <c r="K59" i="1"/>
  <c r="U59" i="1" s="1"/>
  <c r="K55" i="1"/>
  <c r="U55" i="1" s="1"/>
  <c r="K51" i="1"/>
  <c r="U51" i="1" s="1"/>
  <c r="U36" i="1"/>
  <c r="N23" i="1"/>
  <c r="N11" i="1"/>
  <c r="N7" i="1"/>
  <c r="R7" i="1" s="1"/>
  <c r="K43" i="1"/>
  <c r="U21" i="1"/>
  <c r="U17" i="1"/>
  <c r="K7" i="1"/>
  <c r="U7" i="1" s="1"/>
  <c r="R58" i="1"/>
  <c r="K52" i="1"/>
  <c r="U33" i="1"/>
  <c r="U11" i="1"/>
  <c r="U57" i="1"/>
  <c r="U61" i="1"/>
  <c r="R59" i="1"/>
  <c r="R35" i="1"/>
  <c r="U47" i="1"/>
  <c r="U32" i="1"/>
  <c r="R31" i="1"/>
  <c r="U20" i="1"/>
  <c r="U16" i="1"/>
  <c r="U52" i="1"/>
  <c r="U27" i="1"/>
  <c r="U64" i="1"/>
  <c r="R63" i="1"/>
  <c r="U56" i="1"/>
  <c r="U45" i="1"/>
  <c r="U43" i="1"/>
  <c r="U40" i="1"/>
  <c r="U37" i="1"/>
  <c r="U24" i="1"/>
  <c r="R39" i="1"/>
  <c r="U35" i="1"/>
  <c r="R27" i="1"/>
  <c r="U60" i="1"/>
  <c r="R55" i="1"/>
  <c r="R47" i="1"/>
  <c r="U58" i="1"/>
  <c r="U39" i="1"/>
  <c r="U31" i="1"/>
  <c r="U19" i="1"/>
  <c r="U15" i="1"/>
  <c r="U23" i="1"/>
  <c r="R28" i="1"/>
  <c r="R20" i="1"/>
  <c r="R16" i="1"/>
  <c r="R12" i="1"/>
  <c r="N64" i="1"/>
  <c r="R64" i="1" s="1"/>
  <c r="N60" i="1"/>
  <c r="R60" i="1" s="1"/>
  <c r="N56" i="1"/>
  <c r="R56" i="1" s="1"/>
  <c r="N52" i="1"/>
  <c r="R52" i="1" s="1"/>
  <c r="N48" i="1"/>
  <c r="R48" i="1" s="1"/>
  <c r="N44" i="1"/>
  <c r="R44" i="1" s="1"/>
  <c r="N40" i="1"/>
  <c r="R40" i="1" s="1"/>
  <c r="N36" i="1"/>
  <c r="R36" i="1" s="1"/>
  <c r="N32" i="1"/>
  <c r="R32" i="1" s="1"/>
  <c r="N28" i="1"/>
  <c r="N24" i="1"/>
  <c r="R24" i="1" s="1"/>
  <c r="N20" i="1"/>
  <c r="N16" i="1"/>
  <c r="N12" i="1"/>
  <c r="N8" i="1"/>
  <c r="R8" i="1" s="1"/>
  <c r="I6" i="1"/>
  <c r="I67" i="1"/>
  <c r="I68" i="1"/>
  <c r="I69" i="1"/>
  <c r="I70" i="1"/>
  <c r="I71" i="1"/>
  <c r="I72" i="1"/>
  <c r="I73" i="1"/>
  <c r="I74" i="1"/>
  <c r="I75" i="1"/>
  <c r="I5" i="1"/>
  <c r="E76" i="1"/>
  <c r="Q75" i="1"/>
  <c r="J75" i="1"/>
  <c r="G75" i="1"/>
  <c r="N75" i="1" s="1"/>
  <c r="Q74" i="1"/>
  <c r="J74" i="1"/>
  <c r="G74" i="1"/>
  <c r="N74" i="1" s="1"/>
  <c r="Q73" i="1"/>
  <c r="J73" i="1"/>
  <c r="G73" i="1"/>
  <c r="N73" i="1" s="1"/>
  <c r="Q72" i="1"/>
  <c r="J72" i="1"/>
  <c r="G72" i="1"/>
  <c r="M72" i="1" s="1"/>
  <c r="Q71" i="1"/>
  <c r="J71" i="1"/>
  <c r="G71" i="1"/>
  <c r="M71" i="1" s="1"/>
  <c r="Q70" i="1"/>
  <c r="J70" i="1"/>
  <c r="G70" i="1"/>
  <c r="N70" i="1" s="1"/>
  <c r="Q69" i="1"/>
  <c r="J69" i="1"/>
  <c r="G69" i="1"/>
  <c r="N69" i="1" s="1"/>
  <c r="Q68" i="1"/>
  <c r="J68" i="1"/>
  <c r="G68" i="1"/>
  <c r="M68" i="1" s="1"/>
  <c r="Q67" i="1"/>
  <c r="J67" i="1"/>
  <c r="G67" i="1"/>
  <c r="N67" i="1" s="1"/>
  <c r="Q6" i="1"/>
  <c r="J6" i="1"/>
  <c r="G6" i="1"/>
  <c r="N6" i="1" s="1"/>
  <c r="Q5" i="1"/>
  <c r="J5" i="1"/>
  <c r="G5" i="1"/>
  <c r="N5" i="1" s="1"/>
  <c r="G76" i="1" l="1"/>
  <c r="K5" i="1"/>
  <c r="K73" i="1"/>
  <c r="K69" i="1"/>
  <c r="K67" i="1"/>
  <c r="K75" i="1"/>
  <c r="K6" i="1"/>
  <c r="K74" i="1"/>
  <c r="K70" i="1"/>
  <c r="K72" i="1"/>
  <c r="K68" i="1"/>
  <c r="V68" i="1" s="1"/>
  <c r="M74" i="1"/>
  <c r="U74" i="1" s="1"/>
  <c r="M73" i="1"/>
  <c r="U73" i="1" s="1"/>
  <c r="M70" i="1"/>
  <c r="U70" i="1" s="1"/>
  <c r="M69" i="1"/>
  <c r="U69" i="1" s="1"/>
  <c r="N71" i="1"/>
  <c r="R71" i="1" s="1"/>
  <c r="K71" i="1"/>
  <c r="V71" i="1" s="1"/>
  <c r="M5" i="1"/>
  <c r="M67" i="1"/>
  <c r="U67" i="1" s="1"/>
  <c r="M6" i="1"/>
  <c r="U68" i="1"/>
  <c r="N68" i="1"/>
  <c r="R68" i="1" s="1"/>
  <c r="M75" i="1"/>
  <c r="U75" i="1" s="1"/>
  <c r="N72" i="1"/>
  <c r="R72" i="1" s="1"/>
  <c r="R75" i="1"/>
  <c r="U71" i="1"/>
  <c r="R74" i="1"/>
  <c r="R67" i="1"/>
  <c r="R69" i="1"/>
  <c r="R70" i="1"/>
  <c r="R73" i="1"/>
  <c r="R5" i="1"/>
  <c r="O18" i="1" l="1"/>
  <c r="O22" i="1"/>
  <c r="O30" i="1"/>
  <c r="O34" i="1"/>
  <c r="O46" i="1"/>
  <c r="O50" i="1"/>
  <c r="O54" i="1"/>
  <c r="O58" i="1"/>
  <c r="O62" i="1"/>
  <c r="O9" i="1"/>
  <c r="O13" i="1"/>
  <c r="O21" i="1"/>
  <c r="O25" i="1"/>
  <c r="O29" i="1"/>
  <c r="O37" i="1"/>
  <c r="O41" i="1"/>
  <c r="O45" i="1"/>
  <c r="O49" i="1"/>
  <c r="O53" i="1"/>
  <c r="O57" i="1"/>
  <c r="O61" i="1"/>
  <c r="O7" i="1"/>
  <c r="O11" i="1"/>
  <c r="O15" i="1"/>
  <c r="O19" i="1"/>
  <c r="O23" i="1"/>
  <c r="O27" i="1"/>
  <c r="O31" i="1"/>
  <c r="O35" i="1"/>
  <c r="O39" i="1"/>
  <c r="O43" i="1"/>
  <c r="O47" i="1"/>
  <c r="O51" i="1"/>
  <c r="O55" i="1"/>
  <c r="O59" i="1"/>
  <c r="O63" i="1"/>
  <c r="O56" i="1"/>
  <c r="O40" i="1"/>
  <c r="O24" i="1"/>
  <c r="O8" i="1"/>
  <c r="O52" i="1"/>
  <c r="O44" i="1"/>
  <c r="O33" i="1"/>
  <c r="O64" i="1"/>
  <c r="O16" i="1"/>
  <c r="O26" i="1"/>
  <c r="O60" i="1"/>
  <c r="O28" i="1"/>
  <c r="O36" i="1"/>
  <c r="O20" i="1"/>
  <c r="O48" i="1"/>
  <c r="O32" i="1"/>
  <c r="O17" i="1"/>
  <c r="O12" i="1"/>
  <c r="O10" i="1"/>
  <c r="O38" i="1"/>
  <c r="O14" i="1"/>
  <c r="O42" i="1"/>
  <c r="U6" i="1"/>
  <c r="V69" i="1"/>
  <c r="O6" i="1"/>
  <c r="W6" i="1" s="1"/>
  <c r="O67" i="1"/>
  <c r="T67" i="1" s="1"/>
  <c r="O75" i="1"/>
  <c r="V75" i="1" s="1"/>
  <c r="O68" i="1"/>
  <c r="S68" i="1" s="1"/>
  <c r="O69" i="1"/>
  <c r="O70" i="1"/>
  <c r="S70" i="1" s="1"/>
  <c r="O71" i="1"/>
  <c r="O72" i="1"/>
  <c r="V72" i="1" s="1"/>
  <c r="O73" i="1"/>
  <c r="W73" i="1" s="1"/>
  <c r="O74" i="1"/>
  <c r="T74" i="1" s="1"/>
  <c r="O5" i="1"/>
  <c r="V5" i="1" s="1"/>
  <c r="V67" i="1"/>
  <c r="U72" i="1"/>
  <c r="V70" i="1"/>
  <c r="R6" i="1"/>
  <c r="K76" i="1"/>
  <c r="U5" i="1"/>
  <c r="S10" i="1" l="1"/>
  <c r="W10" i="1"/>
  <c r="V10" i="1"/>
  <c r="T10" i="1"/>
  <c r="S8" i="1"/>
  <c r="W8" i="1"/>
  <c r="V8" i="1"/>
  <c r="T8" i="1"/>
  <c r="S12" i="1"/>
  <c r="W12" i="1"/>
  <c r="V12" i="1"/>
  <c r="T12" i="1"/>
  <c r="S24" i="1"/>
  <c r="T24" i="1"/>
  <c r="V24" i="1"/>
  <c r="W24" i="1"/>
  <c r="S11" i="1"/>
  <c r="W11" i="1"/>
  <c r="V11" i="1"/>
  <c r="T11" i="1"/>
  <c r="S37" i="1"/>
  <c r="T37" i="1"/>
  <c r="V37" i="1"/>
  <c r="W37" i="1"/>
  <c r="S39" i="1"/>
  <c r="V39" i="1"/>
  <c r="T39" i="1"/>
  <c r="W39" i="1"/>
  <c r="S26" i="1"/>
  <c r="W26" i="1"/>
  <c r="V26" i="1"/>
  <c r="T26" i="1"/>
  <c r="S43" i="1"/>
  <c r="W43" i="1"/>
  <c r="V43" i="1"/>
  <c r="T43" i="1"/>
  <c r="S54" i="1"/>
  <c r="V54" i="1"/>
  <c r="T54" i="1"/>
  <c r="W54" i="1"/>
  <c r="S17" i="1"/>
  <c r="T17" i="1"/>
  <c r="W17" i="1"/>
  <c r="V17" i="1"/>
  <c r="S40" i="1"/>
  <c r="W40" i="1"/>
  <c r="V40" i="1"/>
  <c r="T40" i="1"/>
  <c r="S32" i="1"/>
  <c r="V32" i="1"/>
  <c r="T32" i="1"/>
  <c r="W32" i="1"/>
  <c r="S64" i="1"/>
  <c r="T64" i="1"/>
  <c r="W64" i="1"/>
  <c r="V64" i="1"/>
  <c r="S56" i="1"/>
  <c r="T56" i="1"/>
  <c r="V56" i="1"/>
  <c r="W56" i="1"/>
  <c r="S35" i="1"/>
  <c r="W35" i="1"/>
  <c r="V35" i="1"/>
  <c r="T35" i="1"/>
  <c r="T61" i="1"/>
  <c r="S61" i="1"/>
  <c r="V61" i="1"/>
  <c r="W61" i="1"/>
  <c r="S25" i="1"/>
  <c r="T25" i="1"/>
  <c r="W25" i="1"/>
  <c r="V25" i="1"/>
  <c r="S46" i="1"/>
  <c r="W46" i="1"/>
  <c r="V46" i="1"/>
  <c r="T46" i="1"/>
  <c r="S60" i="1"/>
  <c r="W60" i="1"/>
  <c r="V60" i="1"/>
  <c r="T60" i="1"/>
  <c r="S15" i="1"/>
  <c r="V15" i="1"/>
  <c r="W15" i="1"/>
  <c r="T15" i="1"/>
  <c r="S41" i="1"/>
  <c r="T41" i="1"/>
  <c r="V41" i="1"/>
  <c r="W41" i="1"/>
  <c r="S58" i="1"/>
  <c r="W58" i="1"/>
  <c r="T58" i="1"/>
  <c r="V58" i="1"/>
  <c r="S29" i="1"/>
  <c r="T29" i="1"/>
  <c r="V29" i="1"/>
  <c r="W29" i="1"/>
  <c r="S33" i="1"/>
  <c r="T33" i="1"/>
  <c r="V33" i="1"/>
  <c r="W33" i="1"/>
  <c r="S42" i="1"/>
  <c r="W42" i="1"/>
  <c r="T42" i="1"/>
  <c r="V42" i="1"/>
  <c r="S44" i="1"/>
  <c r="V44" i="1"/>
  <c r="W44" i="1"/>
  <c r="T44" i="1"/>
  <c r="S59" i="1"/>
  <c r="V59" i="1"/>
  <c r="W59" i="1"/>
  <c r="T59" i="1"/>
  <c r="S27" i="1"/>
  <c r="W27" i="1"/>
  <c r="T27" i="1"/>
  <c r="V27" i="1"/>
  <c r="T53" i="1"/>
  <c r="S53" i="1"/>
  <c r="W53" i="1"/>
  <c r="V53" i="1"/>
  <c r="S13" i="1"/>
  <c r="T13" i="1"/>
  <c r="V13" i="1"/>
  <c r="W13" i="1"/>
  <c r="S30" i="1"/>
  <c r="W30" i="1"/>
  <c r="V30" i="1"/>
  <c r="T30" i="1"/>
  <c r="S63" i="1"/>
  <c r="W63" i="1"/>
  <c r="V63" i="1"/>
  <c r="T63" i="1"/>
  <c r="T57" i="1"/>
  <c r="S57" i="1"/>
  <c r="V57" i="1"/>
  <c r="W57" i="1"/>
  <c r="S34" i="1"/>
  <c r="W34" i="1"/>
  <c r="V34" i="1"/>
  <c r="T34" i="1"/>
  <c r="S52" i="1"/>
  <c r="T52" i="1"/>
  <c r="W52" i="1"/>
  <c r="V52" i="1"/>
  <c r="S49" i="1"/>
  <c r="T49" i="1"/>
  <c r="V49" i="1"/>
  <c r="W49" i="1"/>
  <c r="S22" i="1"/>
  <c r="W22" i="1"/>
  <c r="T22" i="1"/>
  <c r="V22" i="1"/>
  <c r="S47" i="1"/>
  <c r="T47" i="1"/>
  <c r="V47" i="1"/>
  <c r="W47" i="1"/>
  <c r="S16" i="1"/>
  <c r="V16" i="1"/>
  <c r="T16" i="1"/>
  <c r="W16" i="1"/>
  <c r="S7" i="1"/>
  <c r="T7" i="1"/>
  <c r="V7" i="1"/>
  <c r="W7" i="1"/>
  <c r="S50" i="1"/>
  <c r="W50" i="1"/>
  <c r="T50" i="1"/>
  <c r="V50" i="1"/>
  <c r="S48" i="1"/>
  <c r="T48" i="1"/>
  <c r="V48" i="1"/>
  <c r="W48" i="1"/>
  <c r="S31" i="1"/>
  <c r="V31" i="1"/>
  <c r="T31" i="1"/>
  <c r="W31" i="1"/>
  <c r="S21" i="1"/>
  <c r="T21" i="1"/>
  <c r="W21" i="1"/>
  <c r="V21" i="1"/>
  <c r="S20" i="1"/>
  <c r="W20" i="1"/>
  <c r="V20" i="1"/>
  <c r="T20" i="1"/>
  <c r="S14" i="1"/>
  <c r="W14" i="1"/>
  <c r="V14" i="1"/>
  <c r="T14" i="1"/>
  <c r="S36" i="1"/>
  <c r="T36" i="1"/>
  <c r="V36" i="1"/>
  <c r="W36" i="1"/>
  <c r="S55" i="1"/>
  <c r="W55" i="1"/>
  <c r="T55" i="1"/>
  <c r="V55" i="1"/>
  <c r="S23" i="1"/>
  <c r="T23" i="1"/>
  <c r="W23" i="1"/>
  <c r="V23" i="1"/>
  <c r="S9" i="1"/>
  <c r="T9" i="1"/>
  <c r="W9" i="1"/>
  <c r="V9" i="1"/>
  <c r="S38" i="1"/>
  <c r="W38" i="1"/>
  <c r="V38" i="1"/>
  <c r="T38" i="1"/>
  <c r="S28" i="1"/>
  <c r="V28" i="1"/>
  <c r="W28" i="1"/>
  <c r="T28" i="1"/>
  <c r="T65" i="1"/>
  <c r="S65" i="1"/>
  <c r="V65" i="1"/>
  <c r="W65" i="1"/>
  <c r="S51" i="1"/>
  <c r="W51" i="1"/>
  <c r="T51" i="1"/>
  <c r="V51" i="1"/>
  <c r="S19" i="1"/>
  <c r="V19" i="1"/>
  <c r="T19" i="1"/>
  <c r="W19" i="1"/>
  <c r="S45" i="1"/>
  <c r="T45" i="1"/>
  <c r="W45" i="1"/>
  <c r="V45" i="1"/>
  <c r="S62" i="1"/>
  <c r="W62" i="1"/>
  <c r="V62" i="1"/>
  <c r="T62" i="1"/>
  <c r="S18" i="1"/>
  <c r="W18" i="1"/>
  <c r="T18" i="1"/>
  <c r="V18" i="1"/>
  <c r="S67" i="1"/>
  <c r="W67" i="1"/>
  <c r="W68" i="1"/>
  <c r="T68" i="1"/>
  <c r="S74" i="1"/>
  <c r="W72" i="1"/>
  <c r="V73" i="1"/>
  <c r="T5" i="1"/>
  <c r="S5" i="1"/>
  <c r="W5" i="1"/>
  <c r="W70" i="1"/>
  <c r="T70" i="1"/>
  <c r="V74" i="1"/>
  <c r="W69" i="1"/>
  <c r="T69" i="1"/>
  <c r="S69" i="1"/>
  <c r="S75" i="1"/>
  <c r="W75" i="1"/>
  <c r="W74" i="1"/>
  <c r="T75" i="1"/>
  <c r="S73" i="1"/>
  <c r="T73" i="1"/>
  <c r="S72" i="1"/>
  <c r="T72" i="1"/>
  <c r="T71" i="1"/>
  <c r="S71" i="1"/>
  <c r="W71" i="1"/>
  <c r="T6" i="1"/>
  <c r="V6" i="1"/>
  <c r="S6" i="1"/>
  <c r="N76" i="1"/>
  <c r="U76" i="1"/>
  <c r="S76" i="1" l="1"/>
  <c r="R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tc={EB96132C-F2FC-4294-892D-0C0813489975}</author>
  </authors>
  <commentList>
    <comment ref="A71" authorId="0" shapeId="0" xr:uid="{EB96132C-F2FC-4294-892D-0C0813489975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measures were fulfilled through administrative spending, cost included in admin spending total in cell B81. No savings amount attributed to them.</t>
      </text>
    </comment>
  </commentList>
</comments>
</file>

<file path=xl/sharedStrings.xml><?xml version="1.0" encoding="utf-8"?>
<sst xmlns="http://schemas.openxmlformats.org/spreadsheetml/2006/main" count="260" uniqueCount="100">
  <si>
    <t xml:space="preserve">PROGRAM YEAR </t>
  </si>
  <si>
    <t xml:space="preserve"> CASCADE NATURAL GAS CORPORATION</t>
  </si>
  <si>
    <t xml:space="preserve"> RESIDENTIAL Program Participant Cost Effectiveness</t>
  </si>
  <si>
    <t>MEASURE</t>
  </si>
  <si>
    <t>ZONE</t>
  </si>
  <si>
    <t>EFFICIENCY  RATING</t>
  </si>
  <si>
    <t>PARTICIPANTS</t>
  </si>
  <si>
    <t>MEASURES  INSTALLED</t>
  </si>
  <si>
    <t>ANNUAL  THERM  SAVINGS</t>
  </si>
  <si>
    <t>TOTAL  ANNUAL  THERM  SAVINGS</t>
  </si>
  <si>
    <t>MEASURE  INCREMENTAL  COST</t>
  </si>
  <si>
    <t>PARTICIPANT  NEBS</t>
  </si>
  <si>
    <t>TOTAL  INCREMENTAL  COST</t>
  </si>
  <si>
    <t>TOTAL  NET  INCREMENTAL  COST  WITH  NEBS</t>
  </si>
  <si>
    <t>MEASURE  LIFE</t>
  </si>
  <si>
    <t>TRC  DISCOUNTED  THERM  SAVINGS</t>
  </si>
  <si>
    <t>UCT  DISCOUNTED  THERM  SAVINGS</t>
  </si>
  <si>
    <t>PROGRAM  DELIVERY  &amp;  ADMIN</t>
  </si>
  <si>
    <t>PROGRAM  REBATE</t>
  </si>
  <si>
    <t>TOTAL  REBATES  COST</t>
  </si>
  <si>
    <t>UTILITY  COST</t>
  </si>
  <si>
    <t>UC  W/DELIVERY  &amp;  ADMIN</t>
  </si>
  <si>
    <t>LOADED  UTILITY  BENEFIT  TO  COST  RATIO</t>
  </si>
  <si>
    <t>TOTAL  RESOURCE  COST</t>
  </si>
  <si>
    <t>TRC  W/DELIVERY  &amp;  ADMIN</t>
  </si>
  <si>
    <t>LOADED  SOCIETAL  BENEFIT  TO  COST  RATIO</t>
  </si>
  <si>
    <t>0.87 UEF Tankless Water Heater</t>
  </si>
  <si>
    <t>Zone 1</t>
  </si>
  <si>
    <t>0.87+ UEF</t>
  </si>
  <si>
    <t>Zone 2</t>
  </si>
  <si>
    <t>0.91 UEF Tankless Water Heater</t>
  </si>
  <si>
    <t>0.91+ UEF</t>
  </si>
  <si>
    <t>Zone 3</t>
  </si>
  <si>
    <t>0.93 UEF Tankless Water Heater</t>
  </si>
  <si>
    <t>0.93+ UEF</t>
  </si>
  <si>
    <t>Built Green Certified Home</t>
  </si>
  <si>
    <t>Certified from one to five stars</t>
  </si>
  <si>
    <t>Bundle A</t>
  </si>
  <si>
    <t>Bundle B</t>
  </si>
  <si>
    <t>Ceiling Tier I</t>
  </si>
  <si>
    <t>Tier 1: Post R-38+</t>
  </si>
  <si>
    <t>Ceiling Tier II</t>
  </si>
  <si>
    <t>Tier 2: Post R-49+</t>
  </si>
  <si>
    <t>Condensing Boiler</t>
  </si>
  <si>
    <t>95+% Annual Fuel Utilization Efficiency (AFUE)</t>
  </si>
  <si>
    <t>Condensing High-Efficiency Natural Gas Tankless Water Heater</t>
  </si>
  <si>
    <t>0.91+ Energy Factor (EF) or Greater</t>
  </si>
  <si>
    <t>Duct Insulation</t>
  </si>
  <si>
    <t>Post R ? 8, prior condition must not exceed R-0</t>
  </si>
  <si>
    <t>Duct Sealing</t>
  </si>
  <si>
    <t>30% or more of supply ducts in unconditioned space</t>
  </si>
  <si>
    <t>Energy Savings Kit 1</t>
  </si>
  <si>
    <t>One Low Flow Showerhead plus Aerators</t>
  </si>
  <si>
    <t>Energy Savings Kit 2</t>
  </si>
  <si>
    <t>Two Low Flow Showerheads plus Aerators</t>
  </si>
  <si>
    <t>ENERGY STAR Certified Homes + U.30 Window Glazing</t>
  </si>
  <si>
    <t>Certified HERS 75</t>
  </si>
  <si>
    <t>Floor Insulation</t>
  </si>
  <si>
    <t>Post R 30+, or to fill cavity</t>
  </si>
  <si>
    <t>High-Efficiency Combination Domestic Hot Water and Hydronic Space Heating System using pre-</t>
  </si>
  <si>
    <t>95+% Annual Fuel Utilization Efficiency (AFUE) Hydronic Space Heating &amp; DHW</t>
  </si>
  <si>
    <t>High-Efficiency Exterior Entry (not sliding) Door</t>
  </si>
  <si>
    <t>U-Factor &lt;0.21, Energy Star Door</t>
  </si>
  <si>
    <t>High-Efficiency Natural Gas Furnace</t>
  </si>
  <si>
    <t>High-Efficiency Natural Gas Hearth (Fireplace)</t>
  </si>
  <si>
    <t>High-Efficiency Natural Gas Fireplace</t>
  </si>
  <si>
    <t>Programmable Thermostat</t>
  </si>
  <si>
    <t>Programmable</t>
  </si>
  <si>
    <t>Wall Insulation</t>
  </si>
  <si>
    <t>Post R-11+, or to fill cavity</t>
  </si>
  <si>
    <t>Whole House Residential Air Sealing</t>
  </si>
  <si>
    <t>Min. 400 CFM50 reduction</t>
  </si>
  <si>
    <t>Windows</t>
  </si>
  <si>
    <t>U Factor&lt;= 0.27</t>
  </si>
  <si>
    <t>Windows 0.27 U-factor</t>
  </si>
  <si>
    <t>Windows 0.30 U-factor</t>
  </si>
  <si>
    <t>U Factor&lt;= 0.30</t>
  </si>
  <si>
    <t>TOTAL PROGRAM</t>
  </si>
  <si>
    <t xml:space="preserve"> </t>
  </si>
  <si>
    <t>IRP Discount Rate</t>
  </si>
  <si>
    <t>Inflation Rate</t>
  </si>
  <si>
    <t>Long Term Discount Rate</t>
  </si>
  <si>
    <t>Total Res Program Admin</t>
  </si>
  <si>
    <t>CASCADE NATURAL GAS CORPORATION</t>
  </si>
  <si>
    <t>INTEGRATED RESOURCE PLAN</t>
  </si>
  <si>
    <t>BASECASE - MEDIUM FORECAST - AVERAGE WEATHER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</si>
  <si>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</si>
  <si>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</si>
  <si>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</si>
  <si>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</si>
  <si>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</si>
  <si>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</si>
  <si>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</si>
  <si>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</si>
  <si>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Cascade's Long Term Real Discount Rate:</t>
  </si>
  <si>
    <t>IRP Discount Rate :</t>
  </si>
  <si>
    <t>Revised Discount Rate:</t>
  </si>
  <si>
    <t>Years 21-45 Escalation:</t>
  </si>
  <si>
    <t>(EIA Inflation Rate)</t>
  </si>
  <si>
    <t>Non-Energy Saving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</si>
</sst>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164" formatCode="\$#,##0.00;\$\-#,##0.00"/>
    <numFmt numFmtId="165" formatCode="\$#,##0.00"/>
    <numFmt numFmtId="166" formatCode="\$#,##0.00;\$\(#,##0.00\)\ "/>
    <numFmt numFmtId="167" formatCode="\$#,##0.000"/>
    <numFmt numFmtId="168" formatCode="#,##0.000;\(#,##0.000\)\ "/>
    <numFmt numFmtId="169" formatCode="\$#,##0.000;\$\(#,##0.000\)\ "/>
    <numFmt numFmtId="170" formatCode="\$#,##0.000;\$\(#,##0.000\)"/>
    <numFmt numFmtId="171" formatCode="\$#,##0.00;\$\(#,##0.00\)"/>
    <numFmt numFmtId="172" formatCode="#,##0.00%"/>
    <numFmt numFmtId="173" formatCode="\$#,##0.0000;\$\-#,##0.0000"/>
    <numFmt numFmtId="174" formatCode="\$#,##0.##;\$\-#,##0.##"/>
    <numFmt numFmtId="177" formatCode="#,##0.0000"/>
    <numFmt numFmtId="178" formatCode="#,##0.000000000000"/>
    <numFmt numFmtId="179" formatCode="#,##0.000000000_);\(#,##0.000000000\)"/>
  </numFmts>
  <fonts count="19" x14ac:knownFonts="1">
    <font>
      <sz val="11"/>
      <color theme="1"/>
      <name val="Calibri"/>
      <family val="2"/>
      <scheme val="minor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  <font>
      <b/>
      <sz val="23"/>
      <color rgb="FF058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5AA6DB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5AA6DB"/>
      </patternFill>
    </fill>
  </fills>
  <borders count="11">
    <border>
      <left/>
      <right/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/>
      <right/>
      <top/>
      <bottom/>
      <diagonal/>
    </border>
    <border>
      <left style="thin">
        <color rgb="FFC2BABA"/>
      </left>
      <right style="thin">
        <color rgb="FFC2BABA"/>
      </right>
      <top style="thin">
        <color rgb="FFC2BABA"/>
      </top>
      <bottom style="thin">
        <color rgb="FFC2BAB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rgb="FFD6D2D2"/>
      </left>
      <right style="medium">
        <color rgb="FFD6D2D2"/>
      </right>
      <top/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02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5" fillId="6" borderId="2" xfId="0" applyNumberFormat="1" applyFont="1" applyFill="1" applyBorder="1" applyAlignment="1" applyProtection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center" vertical="center" wrapText="1"/>
    </xf>
    <xf numFmtId="3" fontId="6" fillId="8" borderId="1" xfId="0" applyNumberFormat="1" applyFont="1" applyFill="1" applyBorder="1" applyAlignment="1" applyProtection="1">
      <alignment horizontal="center" vertical="center" wrapText="1"/>
    </xf>
    <xf numFmtId="164" fontId="6" fillId="9" borderId="1" xfId="0" applyNumberFormat="1" applyFont="1" applyFill="1" applyBorder="1" applyAlignment="1" applyProtection="1">
      <alignment horizontal="center" vertical="center" wrapText="1"/>
    </xf>
    <xf numFmtId="165" fontId="6" fillId="10" borderId="1" xfId="0" applyNumberFormat="1" applyFont="1" applyFill="1" applyBorder="1" applyAlignment="1" applyProtection="1">
      <alignment horizontal="center" vertical="center" wrapText="1"/>
    </xf>
    <xf numFmtId="166" fontId="6" fillId="11" borderId="1" xfId="0" applyNumberFormat="1" applyFont="1" applyFill="1" applyBorder="1" applyAlignment="1" applyProtection="1">
      <alignment horizontal="center" vertical="center" wrapText="1"/>
    </xf>
    <xf numFmtId="4" fontId="6" fillId="12" borderId="1" xfId="0" applyNumberFormat="1" applyFont="1" applyFill="1" applyBorder="1" applyAlignment="1" applyProtection="1">
      <alignment horizontal="center" vertical="center" wrapText="1"/>
    </xf>
    <xf numFmtId="167" fontId="6" fillId="13" borderId="1" xfId="0" applyNumberFormat="1" applyFont="1" applyFill="1" applyBorder="1" applyAlignment="1" applyProtection="1">
      <alignment horizontal="center" vertical="center" wrapText="1"/>
    </xf>
    <xf numFmtId="168" fontId="6" fillId="14" borderId="1" xfId="0" applyNumberFormat="1" applyFont="1" applyFill="1" applyBorder="1" applyAlignment="1" applyProtection="1">
      <alignment horizontal="center" vertical="center" wrapText="1"/>
    </xf>
    <xf numFmtId="169" fontId="6" fillId="15" borderId="1" xfId="0" applyNumberFormat="1" applyFont="1" applyFill="1" applyBorder="1" applyAlignment="1" applyProtection="1">
      <alignment horizontal="center" vertical="center" wrapText="1"/>
    </xf>
    <xf numFmtId="170" fontId="6" fillId="16" borderId="1" xfId="0" applyNumberFormat="1" applyFont="1" applyFill="1" applyBorder="1" applyAlignment="1" applyProtection="1">
      <alignment horizontal="center" vertical="center" wrapText="1"/>
    </xf>
    <xf numFmtId="0" fontId="6" fillId="17" borderId="1" xfId="0" applyNumberFormat="1" applyFont="1" applyFill="1" applyBorder="1" applyAlignment="1" applyProtection="1">
      <alignment horizontal="center" vertical="center" wrapText="1"/>
    </xf>
    <xf numFmtId="3" fontId="6" fillId="18" borderId="1" xfId="0" applyNumberFormat="1" applyFont="1" applyFill="1" applyBorder="1" applyAlignment="1" applyProtection="1">
      <alignment horizontal="center" vertical="center" wrapText="1"/>
    </xf>
    <xf numFmtId="164" fontId="6" fillId="19" borderId="1" xfId="0" applyNumberFormat="1" applyFont="1" applyFill="1" applyBorder="1" applyAlignment="1" applyProtection="1">
      <alignment horizontal="center" vertical="center" wrapText="1"/>
    </xf>
    <xf numFmtId="165" fontId="6" fillId="20" borderId="1" xfId="0" applyNumberFormat="1" applyFont="1" applyFill="1" applyBorder="1" applyAlignment="1" applyProtection="1">
      <alignment horizontal="center" vertical="center" wrapText="1"/>
    </xf>
    <xf numFmtId="166" fontId="6" fillId="21" borderId="1" xfId="0" applyNumberFormat="1" applyFont="1" applyFill="1" applyBorder="1" applyAlignment="1" applyProtection="1">
      <alignment horizontal="center" vertical="center" wrapText="1"/>
    </xf>
    <xf numFmtId="4" fontId="6" fillId="22" borderId="1" xfId="0" applyNumberFormat="1" applyFont="1" applyFill="1" applyBorder="1" applyAlignment="1" applyProtection="1">
      <alignment horizontal="center" vertical="center" wrapText="1"/>
    </xf>
    <xf numFmtId="167" fontId="6" fillId="23" borderId="1" xfId="0" applyNumberFormat="1" applyFont="1" applyFill="1" applyBorder="1" applyAlignment="1" applyProtection="1">
      <alignment horizontal="center" vertical="center" wrapText="1"/>
    </xf>
    <xf numFmtId="168" fontId="6" fillId="24" borderId="1" xfId="0" applyNumberFormat="1" applyFont="1" applyFill="1" applyBorder="1" applyAlignment="1" applyProtection="1">
      <alignment horizontal="center" vertical="center" wrapText="1"/>
    </xf>
    <xf numFmtId="169" fontId="6" fillId="25" borderId="1" xfId="0" applyNumberFormat="1" applyFont="1" applyFill="1" applyBorder="1" applyAlignment="1" applyProtection="1">
      <alignment horizontal="center" vertical="center" wrapText="1"/>
    </xf>
    <xf numFmtId="170" fontId="6" fillId="26" borderId="1" xfId="0" applyNumberFormat="1" applyFont="1" applyFill="1" applyBorder="1" applyAlignment="1" applyProtection="1">
      <alignment horizontal="center" vertical="center" wrapText="1"/>
    </xf>
    <xf numFmtId="0" fontId="7" fillId="28" borderId="3" xfId="0" applyNumberFormat="1" applyFont="1" applyFill="1" applyBorder="1" applyAlignment="1" applyProtection="1">
      <alignment horizontal="center" vertical="center" wrapText="1"/>
    </xf>
    <xf numFmtId="4" fontId="7" fillId="30" borderId="3" xfId="0" applyNumberFormat="1" applyFont="1" applyFill="1" applyBorder="1" applyAlignment="1" applyProtection="1">
      <alignment horizontal="center" vertical="center" wrapText="1"/>
    </xf>
    <xf numFmtId="171" fontId="7" fillId="32" borderId="3" xfId="0" applyNumberFormat="1" applyFont="1" applyFill="1" applyBorder="1" applyAlignment="1" applyProtection="1">
      <alignment horizontal="center" vertical="center" wrapText="1"/>
    </xf>
    <xf numFmtId="168" fontId="7" fillId="35" borderId="3" xfId="0" applyNumberFormat="1" applyFont="1" applyFill="1" applyBorder="1" applyAlignment="1" applyProtection="1">
      <alignment horizontal="center" vertical="center" wrapText="1"/>
    </xf>
    <xf numFmtId="0" fontId="8" fillId="36" borderId="4" xfId="0" applyNumberFormat="1" applyFont="1" applyFill="1" applyBorder="1" applyAlignment="1" applyProtection="1">
      <alignment horizontal="center" vertical="center" wrapText="1"/>
    </xf>
    <xf numFmtId="0" fontId="0" fillId="37" borderId="0" xfId="0" applyNumberFormat="1" applyFont="1" applyFill="1" applyBorder="1" applyAlignment="1" applyProtection="1">
      <alignment wrapText="1"/>
      <protection locked="0"/>
    </xf>
    <xf numFmtId="0" fontId="9" fillId="38" borderId="1" xfId="0" applyNumberFormat="1" applyFont="1" applyFill="1" applyBorder="1" applyAlignment="1" applyProtection="1">
      <alignment horizontal="center" vertical="center" wrapText="1"/>
    </xf>
    <xf numFmtId="172" fontId="10" fillId="39" borderId="1" xfId="0" applyNumberFormat="1" applyFont="1" applyFill="1" applyBorder="1" applyAlignment="1" applyProtection="1">
      <alignment horizontal="left" vertical="center" wrapText="1"/>
    </xf>
    <xf numFmtId="164" fontId="10" fillId="40" borderId="1" xfId="0" applyNumberFormat="1" applyFont="1" applyFill="1" applyBorder="1" applyAlignment="1" applyProtection="1">
      <alignment horizontal="left" vertical="center" wrapText="1"/>
    </xf>
    <xf numFmtId="0" fontId="11" fillId="41" borderId="4" xfId="0" applyNumberFormat="1" applyFont="1" applyFill="1" applyBorder="1" applyAlignment="1" applyProtection="1">
      <alignment horizontal="left" vertical="center" wrapText="1"/>
    </xf>
    <xf numFmtId="0" fontId="6" fillId="44" borderId="4" xfId="0" applyNumberFormat="1" applyFont="1" applyFill="1" applyBorder="1" applyAlignment="1" applyProtection="1">
      <alignment horizontal="center" vertical="center" wrapText="1"/>
    </xf>
    <xf numFmtId="0" fontId="13" fillId="45" borderId="6" xfId="0" applyNumberFormat="1" applyFont="1" applyFill="1" applyBorder="1" applyAlignment="1" applyProtection="1">
      <alignment horizontal="center" vertical="center" wrapText="1"/>
    </xf>
    <xf numFmtId="0" fontId="14" fillId="46" borderId="6" xfId="0" applyNumberFormat="1" applyFont="1" applyFill="1" applyBorder="1" applyAlignment="1" applyProtection="1">
      <alignment horizontal="center" vertical="center" wrapText="1"/>
    </xf>
    <xf numFmtId="164" fontId="14" fillId="47" borderId="6" xfId="0" applyNumberFormat="1" applyFont="1" applyFill="1" applyBorder="1" applyAlignment="1" applyProtection="1">
      <alignment horizontal="center" vertical="center" wrapText="1"/>
    </xf>
    <xf numFmtId="173" fontId="14" fillId="48" borderId="6" xfId="0" applyNumberFormat="1" applyFont="1" applyFill="1" applyBorder="1" applyAlignment="1" applyProtection="1">
      <alignment horizontal="center" vertical="center" wrapText="1"/>
    </xf>
    <xf numFmtId="174" fontId="14" fillId="49" borderId="6" xfId="0" applyNumberFormat="1" applyFont="1" applyFill="1" applyBorder="1" applyAlignment="1" applyProtection="1">
      <alignment horizontal="center" vertical="center" wrapText="1"/>
    </xf>
    <xf numFmtId="0" fontId="12" fillId="50" borderId="6" xfId="0" applyNumberFormat="1" applyFont="1" applyFill="1" applyBorder="1" applyAlignment="1" applyProtection="1">
      <alignment horizontal="center" vertical="center" wrapText="1"/>
    </xf>
    <xf numFmtId="0" fontId="14" fillId="52" borderId="5" xfId="0" applyNumberFormat="1" applyFont="1" applyFill="1" applyBorder="1" applyAlignment="1" applyProtection="1">
      <alignment horizontal="center" vertical="center" wrapText="1"/>
    </xf>
    <xf numFmtId="172" fontId="14" fillId="54" borderId="5" xfId="0" applyNumberFormat="1" applyFont="1" applyFill="1" applyBorder="1" applyAlignment="1" applyProtection="1">
      <alignment horizontal="center" vertical="center" wrapText="1"/>
    </xf>
    <xf numFmtId="4" fontId="6" fillId="8" borderId="1" xfId="0" applyNumberFormat="1" applyFont="1" applyFill="1" applyBorder="1" applyAlignment="1" applyProtection="1">
      <alignment horizontal="center" vertical="center" wrapText="1"/>
    </xf>
    <xf numFmtId="4" fontId="6" fillId="18" borderId="1" xfId="0" applyNumberFormat="1" applyFont="1" applyFill="1" applyBorder="1" applyAlignment="1" applyProtection="1">
      <alignment horizontal="center" vertical="center" wrapText="1"/>
    </xf>
    <xf numFmtId="44" fontId="16" fillId="0" borderId="0" xfId="0" applyNumberFormat="1" applyFont="1" applyAlignment="1">
      <alignment horizontal="left" vertical="top" wrapText="1"/>
    </xf>
    <xf numFmtId="9" fontId="14" fillId="46" borderId="6" xfId="1" applyFont="1" applyFill="1" applyBorder="1" applyAlignment="1" applyProtection="1">
      <alignment horizontal="center" vertical="center" wrapText="1"/>
    </xf>
    <xf numFmtId="44" fontId="0" fillId="37" borderId="0" xfId="0" applyNumberFormat="1" applyFont="1" applyFill="1" applyBorder="1" applyAlignment="1" applyProtection="1">
      <alignment wrapText="1"/>
      <protection locked="0"/>
    </xf>
    <xf numFmtId="165" fontId="0" fillId="0" borderId="0" xfId="0" applyNumberFormat="1"/>
    <xf numFmtId="178" fontId="0" fillId="0" borderId="0" xfId="0" applyNumberFormat="1"/>
    <xf numFmtId="177" fontId="0" fillId="37" borderId="0" xfId="0" applyNumberFormat="1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7" xfId="0" applyBorder="1"/>
    <xf numFmtId="0" fontId="5" fillId="27" borderId="8" xfId="0" applyNumberFormat="1" applyFont="1" applyFill="1" applyBorder="1" applyAlignment="1" applyProtection="1">
      <alignment horizontal="center" vertical="center" wrapText="1"/>
    </xf>
    <xf numFmtId="3" fontId="7" fillId="29" borderId="8" xfId="0" applyNumberFormat="1" applyFont="1" applyFill="1" applyBorder="1" applyAlignment="1" applyProtection="1">
      <alignment horizontal="center" vertical="center" wrapText="1"/>
    </xf>
    <xf numFmtId="4" fontId="5" fillId="31" borderId="8" xfId="0" applyNumberFormat="1" applyFont="1" applyFill="1" applyBorder="1" applyAlignment="1" applyProtection="1">
      <alignment horizontal="center" vertical="center" wrapText="1"/>
    </xf>
    <xf numFmtId="3" fontId="5" fillId="33" borderId="8" xfId="0" applyNumberFormat="1" applyFont="1" applyFill="1" applyBorder="1" applyAlignment="1" applyProtection="1">
      <alignment horizontal="center" vertical="center" wrapText="1"/>
    </xf>
    <xf numFmtId="171" fontId="5" fillId="34" borderId="8" xfId="0" applyNumberFormat="1" applyFont="1" applyFill="1" applyBorder="1" applyAlignment="1" applyProtection="1">
      <alignment horizontal="center" vertical="center" wrapText="1"/>
    </xf>
    <xf numFmtId="0" fontId="0" fillId="0" borderId="10" xfId="0" applyBorder="1"/>
    <xf numFmtId="0" fontId="5" fillId="56" borderId="2" xfId="0" applyFont="1" applyFill="1" applyBorder="1" applyAlignment="1">
      <alignment horizontal="center" vertical="center" wrapText="1"/>
    </xf>
    <xf numFmtId="0" fontId="18" fillId="17" borderId="1" xfId="0" applyNumberFormat="1" applyFont="1" applyFill="1" applyBorder="1" applyAlignment="1" applyProtection="1">
      <alignment horizontal="center" vertical="center" wrapText="1"/>
    </xf>
    <xf numFmtId="3" fontId="18" fillId="18" borderId="1" xfId="0" applyNumberFormat="1" applyFont="1" applyFill="1" applyBorder="1" applyAlignment="1" applyProtection="1">
      <alignment horizontal="center" vertical="center" wrapText="1"/>
    </xf>
    <xf numFmtId="4" fontId="18" fillId="18" borderId="1" xfId="0" applyNumberFormat="1" applyFont="1" applyFill="1" applyBorder="1" applyAlignment="1" applyProtection="1">
      <alignment horizontal="center" vertical="center" wrapText="1"/>
    </xf>
    <xf numFmtId="164" fontId="18" fillId="19" borderId="1" xfId="0" applyNumberFormat="1" applyFont="1" applyFill="1" applyBorder="1" applyAlignment="1" applyProtection="1">
      <alignment horizontal="center" vertical="center" wrapText="1"/>
    </xf>
    <xf numFmtId="165" fontId="18" fillId="20" borderId="1" xfId="0" applyNumberFormat="1" applyFont="1" applyFill="1" applyBorder="1" applyAlignment="1" applyProtection="1">
      <alignment horizontal="center" vertical="center" wrapText="1"/>
    </xf>
    <xf numFmtId="166" fontId="18" fillId="21" borderId="1" xfId="0" applyNumberFormat="1" applyFont="1" applyFill="1" applyBorder="1" applyAlignment="1" applyProtection="1">
      <alignment horizontal="center" vertical="center" wrapText="1"/>
    </xf>
    <xf numFmtId="4" fontId="18" fillId="22" borderId="1" xfId="0" applyNumberFormat="1" applyFont="1" applyFill="1" applyBorder="1" applyAlignment="1" applyProtection="1">
      <alignment horizontal="center" vertical="center" wrapText="1"/>
    </xf>
    <xf numFmtId="167" fontId="18" fillId="23" borderId="1" xfId="0" applyNumberFormat="1" applyFont="1" applyFill="1" applyBorder="1" applyAlignment="1" applyProtection="1">
      <alignment horizontal="center" vertical="center" wrapText="1"/>
    </xf>
    <xf numFmtId="168" fontId="18" fillId="24" borderId="1" xfId="0" applyNumberFormat="1" applyFont="1" applyFill="1" applyBorder="1" applyAlignment="1" applyProtection="1">
      <alignment horizontal="center" vertical="center" wrapText="1"/>
    </xf>
    <xf numFmtId="169" fontId="18" fillId="25" borderId="1" xfId="0" applyNumberFormat="1" applyFont="1" applyFill="1" applyBorder="1" applyAlignment="1" applyProtection="1">
      <alignment horizontal="center" vertical="center" wrapText="1"/>
    </xf>
    <xf numFmtId="170" fontId="18" fillId="26" borderId="1" xfId="0" applyNumberFormat="1" applyFont="1" applyFill="1" applyBorder="1" applyAlignment="1" applyProtection="1">
      <alignment horizontal="center" vertical="center" wrapText="1"/>
    </xf>
    <xf numFmtId="0" fontId="18" fillId="7" borderId="1" xfId="0" applyNumberFormat="1" applyFont="1" applyFill="1" applyBorder="1" applyAlignment="1" applyProtection="1">
      <alignment horizontal="center" vertical="center" wrapText="1"/>
    </xf>
    <xf numFmtId="3" fontId="18" fillId="8" borderId="1" xfId="0" applyNumberFormat="1" applyFont="1" applyFill="1" applyBorder="1" applyAlignment="1" applyProtection="1">
      <alignment horizontal="center" vertical="center" wrapText="1"/>
    </xf>
    <xf numFmtId="4" fontId="18" fillId="8" borderId="1" xfId="0" applyNumberFormat="1" applyFont="1" applyFill="1" applyBorder="1" applyAlignment="1" applyProtection="1">
      <alignment horizontal="center" vertical="center" wrapText="1"/>
    </xf>
    <xf numFmtId="164" fontId="18" fillId="9" borderId="1" xfId="0" applyNumberFormat="1" applyFont="1" applyFill="1" applyBorder="1" applyAlignment="1" applyProtection="1">
      <alignment horizontal="center" vertical="center" wrapText="1"/>
    </xf>
    <xf numFmtId="165" fontId="18" fillId="10" borderId="1" xfId="0" applyNumberFormat="1" applyFont="1" applyFill="1" applyBorder="1" applyAlignment="1" applyProtection="1">
      <alignment horizontal="center" vertical="center" wrapText="1"/>
    </xf>
    <xf numFmtId="166" fontId="18" fillId="11" borderId="1" xfId="0" applyNumberFormat="1" applyFont="1" applyFill="1" applyBorder="1" applyAlignment="1" applyProtection="1">
      <alignment horizontal="center" vertical="center" wrapText="1"/>
    </xf>
    <xf numFmtId="4" fontId="18" fillId="12" borderId="1" xfId="0" applyNumberFormat="1" applyFont="1" applyFill="1" applyBorder="1" applyAlignment="1" applyProtection="1">
      <alignment horizontal="center" vertical="center" wrapText="1"/>
    </xf>
    <xf numFmtId="167" fontId="18" fillId="13" borderId="1" xfId="0" applyNumberFormat="1" applyFont="1" applyFill="1" applyBorder="1" applyAlignment="1" applyProtection="1">
      <alignment horizontal="center" vertical="center" wrapText="1"/>
    </xf>
    <xf numFmtId="168" fontId="18" fillId="14" borderId="1" xfId="0" applyNumberFormat="1" applyFont="1" applyFill="1" applyBorder="1" applyAlignment="1" applyProtection="1">
      <alignment horizontal="center" vertical="center" wrapText="1"/>
    </xf>
    <xf numFmtId="169" fontId="18" fillId="15" borderId="1" xfId="0" applyNumberFormat="1" applyFont="1" applyFill="1" applyBorder="1" applyAlignment="1" applyProtection="1">
      <alignment horizontal="center" vertical="center" wrapText="1"/>
    </xf>
    <xf numFmtId="170" fontId="18" fillId="16" borderId="1" xfId="0" applyNumberFormat="1" applyFont="1" applyFill="1" applyBorder="1" applyAlignment="1" applyProtection="1">
      <alignment horizontal="center" vertical="center" wrapText="1"/>
    </xf>
    <xf numFmtId="0" fontId="18" fillId="17" borderId="9" xfId="0" applyNumberFormat="1" applyFont="1" applyFill="1" applyBorder="1" applyAlignment="1" applyProtection="1">
      <alignment horizontal="center" vertical="center" wrapText="1"/>
    </xf>
    <xf numFmtId="3" fontId="18" fillId="18" borderId="9" xfId="0" applyNumberFormat="1" applyFont="1" applyFill="1" applyBorder="1" applyAlignment="1" applyProtection="1">
      <alignment horizontal="center" vertical="center" wrapText="1"/>
    </xf>
    <xf numFmtId="4" fontId="18" fillId="18" borderId="9" xfId="0" applyNumberFormat="1" applyFont="1" applyFill="1" applyBorder="1" applyAlignment="1" applyProtection="1">
      <alignment horizontal="center" vertical="center" wrapText="1"/>
    </xf>
    <xf numFmtId="164" fontId="18" fillId="19" borderId="9" xfId="0" applyNumberFormat="1" applyFont="1" applyFill="1" applyBorder="1" applyAlignment="1" applyProtection="1">
      <alignment horizontal="center" vertical="center" wrapText="1"/>
    </xf>
    <xf numFmtId="165" fontId="18" fillId="20" borderId="9" xfId="0" applyNumberFormat="1" applyFont="1" applyFill="1" applyBorder="1" applyAlignment="1" applyProtection="1">
      <alignment horizontal="center" vertical="center" wrapText="1"/>
    </xf>
    <xf numFmtId="166" fontId="18" fillId="21" borderId="9" xfId="0" applyNumberFormat="1" applyFont="1" applyFill="1" applyBorder="1" applyAlignment="1" applyProtection="1">
      <alignment horizontal="center" vertical="center" wrapText="1"/>
    </xf>
    <xf numFmtId="4" fontId="18" fillId="22" borderId="9" xfId="0" applyNumberFormat="1" applyFont="1" applyFill="1" applyBorder="1" applyAlignment="1" applyProtection="1">
      <alignment horizontal="center" vertical="center" wrapText="1"/>
    </xf>
    <xf numFmtId="167" fontId="18" fillId="23" borderId="9" xfId="0" applyNumberFormat="1" applyFont="1" applyFill="1" applyBorder="1" applyAlignment="1" applyProtection="1">
      <alignment horizontal="center" vertical="center" wrapText="1"/>
    </xf>
    <xf numFmtId="168" fontId="18" fillId="24" borderId="9" xfId="0" applyNumberFormat="1" applyFont="1" applyFill="1" applyBorder="1" applyAlignment="1" applyProtection="1">
      <alignment horizontal="center" vertical="center" wrapText="1"/>
    </xf>
    <xf numFmtId="169" fontId="18" fillId="25" borderId="9" xfId="0" applyNumberFormat="1" applyFont="1" applyFill="1" applyBorder="1" applyAlignment="1" applyProtection="1">
      <alignment horizontal="center" vertical="center" wrapText="1"/>
    </xf>
    <xf numFmtId="170" fontId="18" fillId="26" borderId="9" xfId="0" applyNumberFormat="1" applyFont="1" applyFill="1" applyBorder="1" applyAlignment="1" applyProtection="1">
      <alignment horizontal="center" vertical="center" wrapText="1"/>
    </xf>
    <xf numFmtId="179" fontId="0" fillId="37" borderId="0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4" fillId="5" borderId="1" xfId="0" applyNumberFormat="1" applyFont="1" applyFill="1" applyBorder="1" applyAlignment="1" applyProtection="1">
      <alignment horizontal="left" vertical="center" wrapText="1"/>
    </xf>
    <xf numFmtId="0" fontId="12" fillId="42" borderId="5" xfId="0" applyNumberFormat="1" applyFont="1" applyFill="1" applyBorder="1" applyAlignment="1" applyProtection="1">
      <alignment horizontal="center" vertical="center" wrapText="1"/>
    </xf>
    <xf numFmtId="0" fontId="6" fillId="43" borderId="5" xfId="0" applyNumberFormat="1" applyFont="1" applyFill="1" applyBorder="1" applyAlignment="1" applyProtection="1">
      <alignment horizontal="center" vertical="center" wrapText="1"/>
    </xf>
    <xf numFmtId="0" fontId="12" fillId="53" borderId="5" xfId="0" applyNumberFormat="1" applyFont="1" applyFill="1" applyBorder="1" applyAlignment="1" applyProtection="1">
      <alignment horizontal="left" vertical="center" wrapText="1"/>
    </xf>
    <xf numFmtId="0" fontId="14" fillId="52" borderId="5" xfId="0" applyNumberFormat="1" applyFont="1" applyFill="1" applyBorder="1" applyAlignment="1" applyProtection="1">
      <alignment horizontal="center" vertical="center" wrapText="1"/>
    </xf>
    <xf numFmtId="0" fontId="14" fillId="55" borderId="5" xfId="0" applyNumberFormat="1" applyFont="1" applyFill="1" applyBorder="1" applyAlignment="1" applyProtection="1">
      <alignment horizontal="left" vertical="center" wrapText="1"/>
    </xf>
    <xf numFmtId="0" fontId="14" fillId="51" borderId="4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1" dT="2022-03-08T20:44:20.72" personId="{00000000-0000-0000-0000-000000000000}" id="{EB96132C-F2FC-4294-892D-0C0813489975}">
    <text>These measures were fulfilled through administrative spending, cost included in admin spending total in cell B81. No savings amount attributed to them.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W122"/>
  <sheetViews>
    <sheetView tabSelected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86.7109375" customWidth="1"/>
    <col min="2" max="2" width="20" customWidth="1"/>
    <col min="3" max="3" width="85" customWidth="1"/>
    <col min="4" max="4" width="26.7109375" customWidth="1"/>
    <col min="5" max="5" width="35" customWidth="1"/>
    <col min="6" max="6" width="38.28515625" customWidth="1"/>
    <col min="7" max="8" width="45" customWidth="1"/>
    <col min="9" max="9" width="38.28515625" customWidth="1"/>
    <col min="10" max="10" width="40" customWidth="1"/>
    <col min="11" max="11" width="58.28515625" customWidth="1"/>
    <col min="12" max="12" width="28.28515625" customWidth="1"/>
    <col min="13" max="13" width="46.7109375" customWidth="1"/>
    <col min="14" max="14" width="48.28515625" customWidth="1"/>
    <col min="15" max="15" width="43.28515625" customWidth="1"/>
    <col min="16" max="16" width="33.28515625" customWidth="1"/>
    <col min="17" max="17" width="36.7109375" customWidth="1"/>
    <col min="18" max="18" width="26.7109375" customWidth="1"/>
    <col min="19" max="19" width="38.28515625" customWidth="1"/>
    <col min="20" max="20" width="55" customWidth="1"/>
    <col min="21" max="21" width="38.28515625" customWidth="1"/>
    <col min="22" max="22" width="41.7109375" customWidth="1"/>
    <col min="23" max="23" width="61.7109375" customWidth="1"/>
  </cols>
  <sheetData>
    <row r="1" spans="1:23" ht="30" customHeight="1" thickBot="1" x14ac:dyDescent="0.3">
      <c r="A1" s="1" t="s">
        <v>0</v>
      </c>
      <c r="B1" s="93" t="s">
        <v>1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30" customHeight="1" thickBot="1" x14ac:dyDescent="0.3">
      <c r="A2" s="1">
        <v>2021</v>
      </c>
      <c r="B2" s="94" t="s">
        <v>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 ht="24.95" customHeight="1" thickBot="1" x14ac:dyDescent="0.3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</row>
    <row r="4" spans="1:23" ht="24.95" customHeight="1" thickBot="1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2" t="s">
        <v>18</v>
      </c>
      <c r="Q4" s="2" t="s">
        <v>19</v>
      </c>
      <c r="R4" s="2" t="s">
        <v>20</v>
      </c>
      <c r="S4" s="2" t="s">
        <v>21</v>
      </c>
      <c r="T4" s="2" t="s">
        <v>22</v>
      </c>
      <c r="U4" s="2" t="s">
        <v>23</v>
      </c>
      <c r="V4" s="2" t="s">
        <v>24</v>
      </c>
      <c r="W4" s="2" t="s">
        <v>25</v>
      </c>
    </row>
    <row r="5" spans="1:23" ht="20.100000000000001" customHeight="1" thickBot="1" x14ac:dyDescent="0.3">
      <c r="A5" s="3" t="s">
        <v>26</v>
      </c>
      <c r="B5" s="3" t="s">
        <v>27</v>
      </c>
      <c r="C5" s="3" t="s">
        <v>28</v>
      </c>
      <c r="D5" s="4">
        <v>33</v>
      </c>
      <c r="E5" s="4">
        <v>33</v>
      </c>
      <c r="F5" s="4">
        <v>60</v>
      </c>
      <c r="G5" s="42">
        <f t="shared" ref="G5:G29" si="0">IF(ISNUMBER(E5),E5*F5,"")</f>
        <v>1980</v>
      </c>
      <c r="H5" s="5">
        <v>1171</v>
      </c>
      <c r="I5" s="6">
        <f t="shared" ref="I5:I36" si="1">PV($B$80,$L5,(-0.05*0.95*$F5))</f>
        <v>37.904125124251514</v>
      </c>
      <c r="J5" s="6">
        <f t="shared" ref="J5:J29" si="2">IF(ISNUMBER(H5),H5*E5,"")</f>
        <v>38643</v>
      </c>
      <c r="K5" s="7">
        <f>J5-E5*(I5)</f>
        <v>37392.163870899698</v>
      </c>
      <c r="L5" s="4">
        <v>18</v>
      </c>
      <c r="M5" s="4">
        <f t="shared" ref="M5:N24" si="3">PV($B$80,$L5,-$G5)</f>
        <v>26333.392191585262</v>
      </c>
      <c r="N5" s="4">
        <f t="shared" si="3"/>
        <v>26333.392191585262</v>
      </c>
      <c r="O5" s="8">
        <f t="shared" ref="O5:O36" si="4">(G5/$G$76)*$O$76</f>
        <v>4228.2569488769304</v>
      </c>
      <c r="P5" s="5">
        <v>250</v>
      </c>
      <c r="Q5" s="6">
        <f t="shared" ref="Q5:Q29" si="5">IF(ISNUMBER(P5),P5*E5,"")</f>
        <v>8250</v>
      </c>
      <c r="R5" s="9">
        <f t="shared" ref="R5:R29" si="6">IF(ISERROR(Q5/N5),0,Q5/N5)</f>
        <v>0.3132904389976866</v>
      </c>
      <c r="S5" s="9">
        <f t="shared" ref="S5:S29" si="7">IF(ISERROR((O5+Q5)/N5),0,(O5+Q5)/N5)</f>
        <v>0.47385679968964689</v>
      </c>
      <c r="T5" s="10">
        <f>IF($Q5=0,"-",(VLOOKUP(L5,'APP 2885'!$B$10:$G$54,6)*$G5)/($Q5+$O5))</f>
        <v>2.9671648013959069</v>
      </c>
      <c r="U5" s="11">
        <f t="shared" ref="U5:U29" si="8">IF(ISERROR(RK5/M5),0,K5/M5)</f>
        <v>1.419952416265164</v>
      </c>
      <c r="V5" s="12">
        <f t="shared" ref="V5:V29" si="9">IF(ISERROR(K5/M5),0,(K5+O5)/M5)</f>
        <v>1.5805187769571243</v>
      </c>
      <c r="W5" s="10">
        <f>IF($Q5=0,"-",(VLOOKUP(L5,'APP 2885'!$B$10:$G$54,4)*$G5)/($K5+$O5))</f>
        <v>0.80871675429376666</v>
      </c>
    </row>
    <row r="6" spans="1:23" ht="20.100000000000001" customHeight="1" thickBot="1" x14ac:dyDescent="0.3">
      <c r="A6" s="13" t="s">
        <v>26</v>
      </c>
      <c r="B6" s="13" t="s">
        <v>29</v>
      </c>
      <c r="C6" s="13" t="s">
        <v>28</v>
      </c>
      <c r="D6" s="14">
        <v>52</v>
      </c>
      <c r="E6" s="14">
        <v>52</v>
      </c>
      <c r="F6" s="14">
        <v>60</v>
      </c>
      <c r="G6" s="43">
        <f t="shared" si="0"/>
        <v>3120</v>
      </c>
      <c r="H6" s="15">
        <v>1171</v>
      </c>
      <c r="I6" s="16">
        <f t="shared" si="1"/>
        <v>37.904125124251514</v>
      </c>
      <c r="J6" s="16">
        <f t="shared" si="2"/>
        <v>60892</v>
      </c>
      <c r="K6" s="17">
        <f t="shared" ref="K6:K60" si="10">J6-E6*(I6)</f>
        <v>58920.985493538923</v>
      </c>
      <c r="L6" s="14">
        <v>18</v>
      </c>
      <c r="M6" s="14">
        <f t="shared" si="3"/>
        <v>41495.042241285861</v>
      </c>
      <c r="N6" s="14">
        <f t="shared" si="3"/>
        <v>41495.042241285861</v>
      </c>
      <c r="O6" s="18">
        <f t="shared" si="4"/>
        <v>6662.7079194424359</v>
      </c>
      <c r="P6" s="15">
        <v>250</v>
      </c>
      <c r="Q6" s="16">
        <f t="shared" si="5"/>
        <v>13000</v>
      </c>
      <c r="R6" s="19">
        <f t="shared" si="6"/>
        <v>0.31329043899768666</v>
      </c>
      <c r="S6" s="19">
        <f t="shared" si="7"/>
        <v>0.47385679968964706</v>
      </c>
      <c r="T6" s="20">
        <f>IF($Q6=0,"-",(VLOOKUP(L6,'APP 2885'!$B$10:$G$54,6)*$G6)/($Q6+$O6))</f>
        <v>2.9671648013959069</v>
      </c>
      <c r="U6" s="21">
        <f t="shared" si="8"/>
        <v>1.4199524162651644</v>
      </c>
      <c r="V6" s="22">
        <f t="shared" si="9"/>
        <v>1.5805187769571247</v>
      </c>
      <c r="W6" s="20">
        <f>IF($Q6=0,"-",(VLOOKUP(L6,'APP 2885'!$B$10:$G$54,4)*$G6)/($K6+$O6))</f>
        <v>0.80871675429376655</v>
      </c>
    </row>
    <row r="7" spans="1:23" ht="20.100000000000001" customHeight="1" thickBot="1" x14ac:dyDescent="0.3">
      <c r="A7" s="3" t="s">
        <v>30</v>
      </c>
      <c r="B7" s="3" t="s">
        <v>27</v>
      </c>
      <c r="C7" s="3" t="s">
        <v>31</v>
      </c>
      <c r="D7" s="4">
        <v>49</v>
      </c>
      <c r="E7" s="4">
        <v>49</v>
      </c>
      <c r="F7" s="4">
        <v>60.03</v>
      </c>
      <c r="G7" s="42">
        <f t="shared" si="0"/>
        <v>2941.4700000000003</v>
      </c>
      <c r="H7" s="5">
        <v>1171</v>
      </c>
      <c r="I7" s="6">
        <f t="shared" si="1"/>
        <v>37.923077186813636</v>
      </c>
      <c r="J7" s="6">
        <f t="shared" si="2"/>
        <v>57379</v>
      </c>
      <c r="K7" s="7">
        <f t="shared" si="10"/>
        <v>55520.769217846129</v>
      </c>
      <c r="L7" s="4">
        <v>18</v>
      </c>
      <c r="M7" s="4">
        <f t="shared" si="3"/>
        <v>39120.648045344598</v>
      </c>
      <c r="N7" s="4">
        <f t="shared" si="3"/>
        <v>39120.648045344598</v>
      </c>
      <c r="O7" s="8">
        <f t="shared" si="4"/>
        <v>6281.4600845520335</v>
      </c>
      <c r="P7" s="5">
        <v>350</v>
      </c>
      <c r="Q7" s="6">
        <f t="shared" si="5"/>
        <v>17150</v>
      </c>
      <c r="R7" s="9">
        <f t="shared" si="6"/>
        <v>0.4383874208863181</v>
      </c>
      <c r="S7" s="9">
        <f t="shared" si="7"/>
        <v>0.59895378157827839</v>
      </c>
      <c r="T7" s="10">
        <f>IF($Q7=0,"-",(VLOOKUP(L7,'APP 2885'!$B$10:$G$54,6)*$G7)/($Q7+$O7))</f>
        <v>2.3474452623645004</v>
      </c>
      <c r="U7" s="11">
        <f t="shared" si="8"/>
        <v>1.4192190567367957</v>
      </c>
      <c r="V7" s="12">
        <f t="shared" si="9"/>
        <v>1.579785417428756</v>
      </c>
      <c r="W7" s="10">
        <f>IF($Q7=0,"-",(VLOOKUP(L7,'APP 2885'!$B$10:$G$54,4)*$G7)/($K7+$O7))</f>
        <v>0.80909217245560661</v>
      </c>
    </row>
    <row r="8" spans="1:23" ht="20.100000000000001" customHeight="1" thickBot="1" x14ac:dyDescent="0.3">
      <c r="A8" s="13" t="s">
        <v>30</v>
      </c>
      <c r="B8" s="13" t="s">
        <v>29</v>
      </c>
      <c r="C8" s="13" t="s">
        <v>31</v>
      </c>
      <c r="D8" s="14">
        <v>36</v>
      </c>
      <c r="E8" s="14">
        <v>36</v>
      </c>
      <c r="F8" s="14">
        <v>60.03</v>
      </c>
      <c r="G8" s="43">
        <f t="shared" si="0"/>
        <v>2161.08</v>
      </c>
      <c r="H8" s="15">
        <v>1171</v>
      </c>
      <c r="I8" s="16">
        <f t="shared" si="1"/>
        <v>37.923077186813636</v>
      </c>
      <c r="J8" s="16">
        <f t="shared" si="2"/>
        <v>42156</v>
      </c>
      <c r="K8" s="17">
        <f t="shared" si="10"/>
        <v>40790.769221274706</v>
      </c>
      <c r="L8" s="14">
        <v>18</v>
      </c>
      <c r="M8" s="14">
        <f t="shared" si="3"/>
        <v>28741.700604742964</v>
      </c>
      <c r="N8" s="14">
        <f t="shared" si="3"/>
        <v>28741.700604742964</v>
      </c>
      <c r="O8" s="18">
        <f t="shared" si="4"/>
        <v>4614.9502662014938</v>
      </c>
      <c r="P8" s="15">
        <v>350</v>
      </c>
      <c r="Q8" s="16">
        <f t="shared" si="5"/>
        <v>12600</v>
      </c>
      <c r="R8" s="19">
        <f t="shared" si="6"/>
        <v>0.43838742088631821</v>
      </c>
      <c r="S8" s="19">
        <f t="shared" si="7"/>
        <v>0.5989537815782785</v>
      </c>
      <c r="T8" s="20">
        <f>IF($Q8=0,"-",(VLOOKUP(L8,'APP 2885'!$B$10:$G$54,6)*$G8)/($Q8+$O8))</f>
        <v>2.3474452623644999</v>
      </c>
      <c r="U8" s="21">
        <f t="shared" si="8"/>
        <v>1.4192190567367959</v>
      </c>
      <c r="V8" s="22">
        <f t="shared" si="9"/>
        <v>1.5797854174287562</v>
      </c>
      <c r="W8" s="20">
        <f>IF($Q8=0,"-",(VLOOKUP(L8,'APP 2885'!$B$10:$G$54,4)*$G8)/($K8+$O8))</f>
        <v>0.8090921724556065</v>
      </c>
    </row>
    <row r="9" spans="1:23" ht="20.100000000000001" customHeight="1" thickBot="1" x14ac:dyDescent="0.3">
      <c r="A9" s="3" t="s">
        <v>30</v>
      </c>
      <c r="B9" s="3" t="s">
        <v>32</v>
      </c>
      <c r="C9" s="3" t="s">
        <v>31</v>
      </c>
      <c r="D9" s="4">
        <v>74</v>
      </c>
      <c r="E9" s="4">
        <v>74</v>
      </c>
      <c r="F9" s="4">
        <v>60.03</v>
      </c>
      <c r="G9" s="42">
        <f t="shared" si="0"/>
        <v>4442.22</v>
      </c>
      <c r="H9" s="5">
        <v>1171</v>
      </c>
      <c r="I9" s="6">
        <f t="shared" si="1"/>
        <v>37.923077186813636</v>
      </c>
      <c r="J9" s="6">
        <f t="shared" si="2"/>
        <v>86654</v>
      </c>
      <c r="K9" s="7">
        <f t="shared" si="10"/>
        <v>83847.692288175793</v>
      </c>
      <c r="L9" s="4">
        <v>18</v>
      </c>
      <c r="M9" s="4">
        <f t="shared" si="3"/>
        <v>59080.162354193875</v>
      </c>
      <c r="N9" s="4">
        <f t="shared" si="3"/>
        <v>59080.162354193875</v>
      </c>
      <c r="O9" s="8">
        <f t="shared" si="4"/>
        <v>9486.2866583030718</v>
      </c>
      <c r="P9" s="5">
        <v>350</v>
      </c>
      <c r="Q9" s="6">
        <f t="shared" si="5"/>
        <v>25900</v>
      </c>
      <c r="R9" s="9">
        <f t="shared" si="6"/>
        <v>0.43838742088631816</v>
      </c>
      <c r="S9" s="9">
        <f t="shared" si="7"/>
        <v>0.5989537815782785</v>
      </c>
      <c r="T9" s="10">
        <f>IF($Q9=0,"-",(VLOOKUP(L9,'APP 2885'!$B$10:$G$54,6)*$G9)/($Q9+$O9))</f>
        <v>2.3474452623645004</v>
      </c>
      <c r="U9" s="11">
        <f t="shared" si="8"/>
        <v>1.4192190567367959</v>
      </c>
      <c r="V9" s="12">
        <f t="shared" si="9"/>
        <v>1.5797854174287562</v>
      </c>
      <c r="W9" s="10">
        <f>IF($Q9=0,"-",(VLOOKUP(L9,'APP 2885'!$B$10:$G$54,4)*$G9)/($K9+$O9))</f>
        <v>0.8090921724556065</v>
      </c>
    </row>
    <row r="10" spans="1:23" ht="20.100000000000001" customHeight="1" thickBot="1" x14ac:dyDescent="0.3">
      <c r="A10" s="13" t="s">
        <v>33</v>
      </c>
      <c r="B10" s="13" t="s">
        <v>27</v>
      </c>
      <c r="C10" s="13" t="s">
        <v>34</v>
      </c>
      <c r="D10" s="14">
        <v>217</v>
      </c>
      <c r="E10" s="14">
        <v>217</v>
      </c>
      <c r="F10" s="14">
        <v>68</v>
      </c>
      <c r="G10" s="43">
        <f t="shared" si="0"/>
        <v>14756</v>
      </c>
      <c r="H10" s="15">
        <v>1171</v>
      </c>
      <c r="I10" s="16">
        <f t="shared" si="1"/>
        <v>42.958008474151711</v>
      </c>
      <c r="J10" s="16">
        <f t="shared" si="2"/>
        <v>254107</v>
      </c>
      <c r="K10" s="17">
        <f t="shared" si="10"/>
        <v>244785.11216110908</v>
      </c>
      <c r="L10" s="14">
        <v>18</v>
      </c>
      <c r="M10" s="14">
        <f t="shared" si="3"/>
        <v>196250.27029244043</v>
      </c>
      <c r="N10" s="14">
        <f t="shared" si="3"/>
        <v>196250.27029244043</v>
      </c>
      <c r="O10" s="18">
        <f t="shared" si="4"/>
        <v>31511.191685670703</v>
      </c>
      <c r="P10" s="15">
        <v>350</v>
      </c>
      <c r="Q10" s="16">
        <f t="shared" si="5"/>
        <v>75950</v>
      </c>
      <c r="R10" s="19">
        <f t="shared" si="6"/>
        <v>0.38700583640890707</v>
      </c>
      <c r="S10" s="19">
        <f t="shared" si="7"/>
        <v>0.54757219710086746</v>
      </c>
      <c r="T10" s="20">
        <f>IF($Q10=0,"-",(VLOOKUP(L10,'APP 2885'!$B$10:$G$54,6)*$G10)/($Q10+$O10))</f>
        <v>2.5677184203021768</v>
      </c>
      <c r="U10" s="21">
        <f t="shared" si="8"/>
        <v>1.2473109555280864</v>
      </c>
      <c r="V10" s="22">
        <f t="shared" si="9"/>
        <v>1.4078773162200469</v>
      </c>
      <c r="W10" s="20">
        <f>IF($Q10=0,"-",(VLOOKUP(L10,'APP 2885'!$B$10:$G$54,4)*$G10)/($K10+$O10))</f>
        <v>0.90788593627808845</v>
      </c>
    </row>
    <row r="11" spans="1:23" ht="20.100000000000001" customHeight="1" thickBot="1" x14ac:dyDescent="0.3">
      <c r="A11" s="3" t="s">
        <v>33</v>
      </c>
      <c r="B11" s="3" t="s">
        <v>29</v>
      </c>
      <c r="C11" s="3" t="s">
        <v>34</v>
      </c>
      <c r="D11" s="4">
        <v>41</v>
      </c>
      <c r="E11" s="4">
        <v>41</v>
      </c>
      <c r="F11" s="4">
        <v>68</v>
      </c>
      <c r="G11" s="42">
        <f t="shared" si="0"/>
        <v>2788</v>
      </c>
      <c r="H11" s="5">
        <v>1171</v>
      </c>
      <c r="I11" s="6">
        <f t="shared" si="1"/>
        <v>42.958008474151711</v>
      </c>
      <c r="J11" s="6">
        <f t="shared" si="2"/>
        <v>48011</v>
      </c>
      <c r="K11" s="7">
        <f t="shared" si="10"/>
        <v>46249.721652559783</v>
      </c>
      <c r="L11" s="4">
        <v>18</v>
      </c>
      <c r="M11" s="4">
        <f t="shared" si="3"/>
        <v>37079.544156636213</v>
      </c>
      <c r="N11" s="4">
        <f t="shared" si="3"/>
        <v>37079.544156636213</v>
      </c>
      <c r="O11" s="8">
        <f t="shared" si="4"/>
        <v>5953.7274613479203</v>
      </c>
      <c r="P11" s="5">
        <v>350</v>
      </c>
      <c r="Q11" s="6">
        <f t="shared" si="5"/>
        <v>14350</v>
      </c>
      <c r="R11" s="9">
        <f t="shared" si="6"/>
        <v>0.38700583640890707</v>
      </c>
      <c r="S11" s="9">
        <f t="shared" si="7"/>
        <v>0.54757219710086735</v>
      </c>
      <c r="T11" s="10">
        <f>IF($Q11=0,"-",(VLOOKUP(L11,'APP 2885'!$B$10:$G$54,6)*$G11)/($Q11+$O11))</f>
        <v>2.5677184203021768</v>
      </c>
      <c r="U11" s="11">
        <f t="shared" si="8"/>
        <v>1.2473109555280864</v>
      </c>
      <c r="V11" s="12">
        <f t="shared" si="9"/>
        <v>1.4078773162200464</v>
      </c>
      <c r="W11" s="10">
        <f>IF($Q11=0,"-",(VLOOKUP(L11,'APP 2885'!$B$10:$G$54,4)*$G11)/($K11+$O11))</f>
        <v>0.90788593627808856</v>
      </c>
    </row>
    <row r="12" spans="1:23" ht="20.100000000000001" customHeight="1" thickBot="1" x14ac:dyDescent="0.3">
      <c r="A12" s="13" t="s">
        <v>33</v>
      </c>
      <c r="B12" s="13" t="s">
        <v>32</v>
      </c>
      <c r="C12" s="13" t="s">
        <v>34</v>
      </c>
      <c r="D12" s="14">
        <v>479</v>
      </c>
      <c r="E12" s="14">
        <v>480</v>
      </c>
      <c r="F12" s="14">
        <v>67</v>
      </c>
      <c r="G12" s="43">
        <f t="shared" si="0"/>
        <v>32160</v>
      </c>
      <c r="H12" s="15">
        <v>1171</v>
      </c>
      <c r="I12" s="16">
        <f t="shared" si="1"/>
        <v>42.326273055414184</v>
      </c>
      <c r="J12" s="16">
        <f t="shared" si="2"/>
        <v>562080</v>
      </c>
      <c r="K12" s="17">
        <f t="shared" si="10"/>
        <v>541763.38893340121</v>
      </c>
      <c r="L12" s="14">
        <v>18</v>
      </c>
      <c r="M12" s="14">
        <f t="shared" si="3"/>
        <v>427718.12771786965</v>
      </c>
      <c r="N12" s="14">
        <f t="shared" si="3"/>
        <v>427718.12771786965</v>
      </c>
      <c r="O12" s="18">
        <f t="shared" si="4"/>
        <v>68677.14316963742</v>
      </c>
      <c r="P12" s="15">
        <v>350</v>
      </c>
      <c r="Q12" s="16">
        <f t="shared" si="5"/>
        <v>168000</v>
      </c>
      <c r="R12" s="19">
        <f t="shared" si="6"/>
        <v>0.39278204292247287</v>
      </c>
      <c r="S12" s="19">
        <f t="shared" si="7"/>
        <v>0.55334840361443316</v>
      </c>
      <c r="T12" s="20">
        <f>IF($Q12=0,"-",(VLOOKUP(L12,'APP 2885'!$B$10:$G$54,6)*$G12)/($Q12+$O12))</f>
        <v>2.5409149240465219</v>
      </c>
      <c r="U12" s="21">
        <f t="shared" si="8"/>
        <v>1.2666364921777591</v>
      </c>
      <c r="V12" s="22">
        <f t="shared" si="9"/>
        <v>1.4272028528697196</v>
      </c>
      <c r="W12" s="20">
        <f>IF($Q12=0,"-",(VLOOKUP(L12,'APP 2885'!$B$10:$G$54,4)*$G12)/($K12+$O12))</f>
        <v>0.8955923909702258</v>
      </c>
    </row>
    <row r="13" spans="1:23" ht="20.100000000000001" customHeight="1" thickBot="1" x14ac:dyDescent="0.3">
      <c r="A13" s="3" t="s">
        <v>35</v>
      </c>
      <c r="B13" s="3" t="s">
        <v>32</v>
      </c>
      <c r="C13" s="3" t="s">
        <v>36</v>
      </c>
      <c r="D13" s="4">
        <v>37</v>
      </c>
      <c r="E13" s="4">
        <v>37</v>
      </c>
      <c r="F13" s="4">
        <v>229</v>
      </c>
      <c r="G13" s="42">
        <f t="shared" si="0"/>
        <v>8473</v>
      </c>
      <c r="H13" s="5">
        <v>1142</v>
      </c>
      <c r="I13" s="6">
        <f t="shared" si="1"/>
        <v>202.5897321380028</v>
      </c>
      <c r="J13" s="6">
        <f t="shared" si="2"/>
        <v>42254</v>
      </c>
      <c r="K13" s="7">
        <f t="shared" si="10"/>
        <v>34758.179910893894</v>
      </c>
      <c r="L13" s="4">
        <v>30</v>
      </c>
      <c r="M13" s="4">
        <f t="shared" si="3"/>
        <v>157806.73871802326</v>
      </c>
      <c r="N13" s="4">
        <f t="shared" si="3"/>
        <v>157806.73871802326</v>
      </c>
      <c r="O13" s="8">
        <f t="shared" si="4"/>
        <v>18093.950064562745</v>
      </c>
      <c r="P13" s="5">
        <v>2000</v>
      </c>
      <c r="Q13" s="6">
        <f t="shared" si="5"/>
        <v>74000</v>
      </c>
      <c r="R13" s="9">
        <f t="shared" si="6"/>
        <v>0.46892801030649767</v>
      </c>
      <c r="S13" s="9">
        <f t="shared" si="7"/>
        <v>0.5835869292573157</v>
      </c>
      <c r="T13" s="10">
        <f>IF($Q13=0,"-",(VLOOKUP(L13,'APP 2885'!$B$10:$G$54,6)*$G13)/($Q13+$O13))</f>
        <v>3.2070270976218986</v>
      </c>
      <c r="U13" s="11">
        <f t="shared" si="8"/>
        <v>0.22025789388501019</v>
      </c>
      <c r="V13" s="12">
        <f t="shared" si="9"/>
        <v>0.33491681283582819</v>
      </c>
      <c r="W13" s="10">
        <f>IF($Q13=0,"-",(VLOOKUP(L13,'APP 2885'!$B$10:$G$54,4)*$G13)/($K13+$O13))</f>
        <v>5.0801735731411677</v>
      </c>
    </row>
    <row r="14" spans="1:23" ht="20.100000000000001" customHeight="1" thickBot="1" x14ac:dyDescent="0.3">
      <c r="A14" s="13" t="s">
        <v>39</v>
      </c>
      <c r="B14" s="13" t="s">
        <v>27</v>
      </c>
      <c r="C14" s="13" t="s">
        <v>40</v>
      </c>
      <c r="D14" s="14">
        <v>14</v>
      </c>
      <c r="E14" s="14">
        <v>12530</v>
      </c>
      <c r="F14" s="14">
        <v>6.2E-2</v>
      </c>
      <c r="G14" s="43">
        <f t="shared" si="0"/>
        <v>776.86</v>
      </c>
      <c r="H14" s="15">
        <v>0.67</v>
      </c>
      <c r="I14" s="16">
        <f t="shared" si="1"/>
        <v>6.7378662858768659E-2</v>
      </c>
      <c r="J14" s="16">
        <f t="shared" si="2"/>
        <v>8395.1</v>
      </c>
      <c r="K14" s="17">
        <f t="shared" si="10"/>
        <v>7550.8453543796295</v>
      </c>
      <c r="L14" s="14">
        <v>45</v>
      </c>
      <c r="M14" s="14">
        <f t="shared" si="3"/>
        <v>17773.782013060449</v>
      </c>
      <c r="N14" s="14">
        <f t="shared" si="3"/>
        <v>17773.782013060449</v>
      </c>
      <c r="O14" s="18">
        <f t="shared" si="4"/>
        <v>1658.9715622750164</v>
      </c>
      <c r="P14" s="15">
        <v>0.75</v>
      </c>
      <c r="Q14" s="16">
        <f t="shared" si="5"/>
        <v>9397.5</v>
      </c>
      <c r="R14" s="19">
        <f t="shared" si="6"/>
        <v>0.52872821288651861</v>
      </c>
      <c r="S14" s="19">
        <f t="shared" si="7"/>
        <v>0.62206634210718625</v>
      </c>
      <c r="T14" s="20">
        <f>IF($Q14=0,"-",(VLOOKUP(L14,'APP 2885'!$B$10:$G$54,6)*$G14)/($Q14+$O14))</f>
        <v>4.3047725343498904</v>
      </c>
      <c r="U14" s="21">
        <f t="shared" si="8"/>
        <v>0.42483053684528999</v>
      </c>
      <c r="V14" s="22">
        <f t="shared" si="9"/>
        <v>0.51816866606595779</v>
      </c>
      <c r="W14" s="20">
        <f>IF($Q14=0,"-",(VLOOKUP(L14,'APP 2885'!$B$10:$G$54,4)*$G14)/($K14+$O14))</f>
        <v>4.6981089002216789</v>
      </c>
    </row>
    <row r="15" spans="1:23" ht="20.100000000000001" customHeight="1" thickBot="1" x14ac:dyDescent="0.3">
      <c r="A15" s="3" t="s">
        <v>39</v>
      </c>
      <c r="B15" s="3" t="s">
        <v>29</v>
      </c>
      <c r="C15" s="3" t="s">
        <v>40</v>
      </c>
      <c r="D15" s="4">
        <v>2</v>
      </c>
      <c r="E15" s="4">
        <v>1854</v>
      </c>
      <c r="F15" s="4">
        <v>5.7000000000000002E-2</v>
      </c>
      <c r="G15" s="42">
        <f t="shared" si="0"/>
        <v>105.678</v>
      </c>
      <c r="H15" s="5">
        <v>0.67</v>
      </c>
      <c r="I15" s="6">
        <f t="shared" si="1"/>
        <v>6.1944899724997005E-2</v>
      </c>
      <c r="J15" s="6">
        <f t="shared" si="2"/>
        <v>1242.18</v>
      </c>
      <c r="K15" s="7">
        <f t="shared" si="10"/>
        <v>1127.3341559098556</v>
      </c>
      <c r="L15" s="4">
        <v>45</v>
      </c>
      <c r="M15" s="4">
        <f t="shared" si="3"/>
        <v>2417.8072440030405</v>
      </c>
      <c r="N15" s="4">
        <f t="shared" si="3"/>
        <v>2417.8072440030405</v>
      </c>
      <c r="O15" s="8">
        <f t="shared" si="4"/>
        <v>225.67360497142238</v>
      </c>
      <c r="P15" s="5">
        <v>0.75</v>
      </c>
      <c r="Q15" s="6">
        <f t="shared" si="5"/>
        <v>1390.5</v>
      </c>
      <c r="R15" s="9">
        <f t="shared" si="6"/>
        <v>0.57510788068358165</v>
      </c>
      <c r="S15" s="9">
        <f t="shared" si="7"/>
        <v>0.66844600990424941</v>
      </c>
      <c r="T15" s="10">
        <f>IF($Q15=0,"-",(VLOOKUP(L15,'APP 2885'!$B$10:$G$54,6)*$G15)/($Q15+$O15))</f>
        <v>4.0060888454253831</v>
      </c>
      <c r="U15" s="11">
        <f t="shared" si="8"/>
        <v>0.46626304007733294</v>
      </c>
      <c r="V15" s="12">
        <f t="shared" si="9"/>
        <v>0.55960116929800074</v>
      </c>
      <c r="W15" s="10">
        <f>IF($Q15=0,"-",(VLOOKUP(L15,'APP 2885'!$B$10:$G$54,4)*$G15)/($K15+$O15))</f>
        <v>4.3502640012606717</v>
      </c>
    </row>
    <row r="16" spans="1:23" ht="20.100000000000001" customHeight="1" thickBot="1" x14ac:dyDescent="0.3">
      <c r="A16" s="13" t="s">
        <v>39</v>
      </c>
      <c r="B16" s="13" t="s">
        <v>32</v>
      </c>
      <c r="C16" s="13" t="s">
        <v>40</v>
      </c>
      <c r="D16" s="14">
        <v>3</v>
      </c>
      <c r="E16" s="14">
        <v>3330</v>
      </c>
      <c r="F16" s="14">
        <v>6.7000000000000004E-2</v>
      </c>
      <c r="G16" s="43">
        <f t="shared" si="0"/>
        <v>223.11</v>
      </c>
      <c r="H16" s="15">
        <v>0.67</v>
      </c>
      <c r="I16" s="16">
        <f t="shared" si="1"/>
        <v>7.2812425992540342E-2</v>
      </c>
      <c r="J16" s="16">
        <f t="shared" si="2"/>
        <v>2231.1</v>
      </c>
      <c r="K16" s="17">
        <f t="shared" si="10"/>
        <v>1988.6346214448406</v>
      </c>
      <c r="L16" s="14">
        <v>45</v>
      </c>
      <c r="M16" s="14">
        <f t="shared" si="3"/>
        <v>5104.5342853717748</v>
      </c>
      <c r="N16" s="14">
        <f t="shared" si="3"/>
        <v>5104.5342853717748</v>
      </c>
      <c r="O16" s="18">
        <f t="shared" si="4"/>
        <v>476.44768073935961</v>
      </c>
      <c r="P16" s="15">
        <v>0.75</v>
      </c>
      <c r="Q16" s="16">
        <f t="shared" si="5"/>
        <v>2497.5</v>
      </c>
      <c r="R16" s="19">
        <f t="shared" si="6"/>
        <v>0.48927088356662912</v>
      </c>
      <c r="S16" s="19">
        <f t="shared" si="7"/>
        <v>0.58260901278729682</v>
      </c>
      <c r="T16" s="20">
        <f>IF($Q16=0,"-",(VLOOKUP(L16,'APP 2885'!$B$10:$G$54,6)*$G16)/($Q16+$O16))</f>
        <v>4.5963142438103155</v>
      </c>
      <c r="U16" s="21">
        <f t="shared" si="8"/>
        <v>0.38958198931952198</v>
      </c>
      <c r="V16" s="22">
        <f t="shared" si="9"/>
        <v>0.48292011854018974</v>
      </c>
      <c r="W16" s="20">
        <f>IF($Q16=0,"-",(VLOOKUP(L16,'APP 2885'!$B$10:$G$54,4)*$G16)/($K16+$O16))</f>
        <v>5.0410258931009384</v>
      </c>
    </row>
    <row r="17" spans="1:23" ht="20.100000000000001" customHeight="1" thickBot="1" x14ac:dyDescent="0.3">
      <c r="A17" s="3" t="s">
        <v>41</v>
      </c>
      <c r="B17" s="3" t="s">
        <v>27</v>
      </c>
      <c r="C17" s="3" t="s">
        <v>42</v>
      </c>
      <c r="D17" s="4">
        <v>200</v>
      </c>
      <c r="E17" s="4">
        <v>234651.5</v>
      </c>
      <c r="F17" s="4">
        <v>7.3999999999999996E-2</v>
      </c>
      <c r="G17" s="42">
        <f t="shared" si="0"/>
        <v>17364.210999999999</v>
      </c>
      <c r="H17" s="5">
        <v>0.67</v>
      </c>
      <c r="I17" s="6">
        <f t="shared" si="1"/>
        <v>8.0419694379820661E-2</v>
      </c>
      <c r="J17" s="6">
        <f t="shared" si="2"/>
        <v>157216.505</v>
      </c>
      <c r="K17" s="7">
        <f t="shared" si="10"/>
        <v>138345.90308423352</v>
      </c>
      <c r="L17" s="4">
        <v>45</v>
      </c>
      <c r="M17" s="4">
        <f t="shared" si="3"/>
        <v>397275.82980561024</v>
      </c>
      <c r="N17" s="4">
        <f t="shared" si="3"/>
        <v>397275.82980561024</v>
      </c>
      <c r="O17" s="8">
        <f t="shared" si="4"/>
        <v>37080.982738644059</v>
      </c>
      <c r="P17" s="5">
        <v>1</v>
      </c>
      <c r="Q17" s="6">
        <f t="shared" si="5"/>
        <v>234651.5</v>
      </c>
      <c r="R17" s="9">
        <f t="shared" si="6"/>
        <v>0.5906513369182731</v>
      </c>
      <c r="S17" s="9">
        <f t="shared" si="7"/>
        <v>0.68398946613894085</v>
      </c>
      <c r="T17" s="10">
        <f>IF($Q17=0,"-",(VLOOKUP(L17,'APP 2885'!$B$10:$G$54,6)*$G17)/($Q17+$O17))</f>
        <v>3.9150516734749798</v>
      </c>
      <c r="U17" s="11">
        <f t="shared" si="8"/>
        <v>0.34823639573524295</v>
      </c>
      <c r="V17" s="12">
        <f t="shared" si="9"/>
        <v>0.44157452495591071</v>
      </c>
      <c r="W17" s="10">
        <f>IF($Q17=0,"-",(VLOOKUP(L17,'APP 2885'!$B$10:$G$54,4)*$G17)/($K17+$O17))</f>
        <v>5.5130282302937124</v>
      </c>
    </row>
    <row r="18" spans="1:23" ht="20.100000000000001" customHeight="1" thickBot="1" x14ac:dyDescent="0.3">
      <c r="A18" s="13" t="s">
        <v>41</v>
      </c>
      <c r="B18" s="13" t="s">
        <v>29</v>
      </c>
      <c r="C18" s="13" t="s">
        <v>42</v>
      </c>
      <c r="D18" s="14">
        <v>44</v>
      </c>
      <c r="E18" s="14">
        <v>49930</v>
      </c>
      <c r="F18" s="14">
        <v>6.8000000000000005E-2</v>
      </c>
      <c r="G18" s="43">
        <f t="shared" si="0"/>
        <v>3395.2400000000002</v>
      </c>
      <c r="H18" s="15">
        <v>0.67</v>
      </c>
      <c r="I18" s="16">
        <f t="shared" si="1"/>
        <v>7.3899178619294653E-2</v>
      </c>
      <c r="J18" s="16">
        <f t="shared" si="2"/>
        <v>33453.1</v>
      </c>
      <c r="K18" s="17">
        <f t="shared" si="10"/>
        <v>29763.314011538616</v>
      </c>
      <c r="L18" s="14">
        <v>45</v>
      </c>
      <c r="M18" s="14">
        <f t="shared" si="3"/>
        <v>77679.705020239635</v>
      </c>
      <c r="N18" s="14">
        <f t="shared" si="3"/>
        <v>77679.705020239635</v>
      </c>
      <c r="O18" s="18">
        <f t="shared" si="4"/>
        <v>7250.4783450024806</v>
      </c>
      <c r="P18" s="15">
        <v>1</v>
      </c>
      <c r="Q18" s="16">
        <f t="shared" si="5"/>
        <v>49930</v>
      </c>
      <c r="R18" s="19">
        <f t="shared" si="6"/>
        <v>0.64276763135223824</v>
      </c>
      <c r="S18" s="19">
        <f t="shared" si="7"/>
        <v>0.736105760572906</v>
      </c>
      <c r="T18" s="20">
        <f>IF($Q18=0,"-",(VLOOKUP(L18,'APP 2885'!$B$10:$G$54,6)*$G18)/($Q18+$O18))</f>
        <v>3.6378659799678283</v>
      </c>
      <c r="U18" s="21">
        <f t="shared" si="8"/>
        <v>0.38315431300599961</v>
      </c>
      <c r="V18" s="22">
        <f t="shared" si="9"/>
        <v>0.47649244222666737</v>
      </c>
      <c r="W18" s="20">
        <f>IF($Q18=0,"-",(VLOOKUP(L18,'APP 2885'!$B$10:$G$54,4)*$G18)/($K18+$O18))</f>
        <v>5.1090271452876923</v>
      </c>
    </row>
    <row r="19" spans="1:23" ht="20.100000000000001" customHeight="1" thickBot="1" x14ac:dyDescent="0.3">
      <c r="A19" s="3" t="s">
        <v>41</v>
      </c>
      <c r="B19" s="3" t="s">
        <v>32</v>
      </c>
      <c r="C19" s="3" t="s">
        <v>42</v>
      </c>
      <c r="D19" s="4">
        <v>80</v>
      </c>
      <c r="E19" s="4">
        <v>106471</v>
      </c>
      <c r="F19" s="4">
        <v>0.08</v>
      </c>
      <c r="G19" s="42">
        <f t="shared" si="0"/>
        <v>8517.68</v>
      </c>
      <c r="H19" s="5">
        <v>0.67</v>
      </c>
      <c r="I19" s="6">
        <f t="shared" si="1"/>
        <v>8.6940210140346655E-2</v>
      </c>
      <c r="J19" s="6">
        <f t="shared" si="2"/>
        <v>71335.570000000007</v>
      </c>
      <c r="K19" s="7">
        <f t="shared" si="10"/>
        <v>62078.958886147157</v>
      </c>
      <c r="L19" s="4">
        <v>45</v>
      </c>
      <c r="M19" s="4">
        <f t="shared" si="3"/>
        <v>194876.02344953368</v>
      </c>
      <c r="N19" s="4">
        <f t="shared" si="3"/>
        <v>194876.02344953368</v>
      </c>
      <c r="O19" s="8">
        <f t="shared" si="4"/>
        <v>18189.363458742453</v>
      </c>
      <c r="P19" s="5">
        <v>1</v>
      </c>
      <c r="Q19" s="6">
        <f t="shared" si="5"/>
        <v>106471</v>
      </c>
      <c r="R19" s="9">
        <f t="shared" si="6"/>
        <v>0.5463524866494025</v>
      </c>
      <c r="S19" s="9">
        <f t="shared" si="7"/>
        <v>0.63969061587007026</v>
      </c>
      <c r="T19" s="10">
        <f>IF($Q19=0,"-",(VLOOKUP(L19,'APP 2885'!$B$10:$G$54,6)*$G19)/($Q19+$O19))</f>
        <v>4.186170685659123</v>
      </c>
      <c r="U19" s="11">
        <f t="shared" si="8"/>
        <v>0.31855616605509973</v>
      </c>
      <c r="V19" s="12">
        <f t="shared" si="9"/>
        <v>0.41189429527576743</v>
      </c>
      <c r="W19" s="10">
        <f>IF($Q19=0,"-",(VLOOKUP(L19,'APP 2885'!$B$10:$G$54,4)*$G19)/($K19+$O19))</f>
        <v>5.9102853566607587</v>
      </c>
    </row>
    <row r="20" spans="1:23" ht="20.100000000000001" customHeight="1" thickBot="1" x14ac:dyDescent="0.3">
      <c r="A20" s="13" t="s">
        <v>43</v>
      </c>
      <c r="B20" s="13" t="s">
        <v>27</v>
      </c>
      <c r="C20" s="13" t="s">
        <v>44</v>
      </c>
      <c r="D20" s="14">
        <v>21</v>
      </c>
      <c r="E20" s="14">
        <v>22</v>
      </c>
      <c r="F20" s="14">
        <v>77</v>
      </c>
      <c r="G20" s="43">
        <f t="shared" si="0"/>
        <v>1694</v>
      </c>
      <c r="H20" s="15">
        <v>1747</v>
      </c>
      <c r="I20" s="16">
        <f t="shared" si="1"/>
        <v>83.679952260083653</v>
      </c>
      <c r="J20" s="16">
        <f t="shared" si="2"/>
        <v>38434</v>
      </c>
      <c r="K20" s="17">
        <f t="shared" si="10"/>
        <v>36593.04105027816</v>
      </c>
      <c r="L20" s="14">
        <v>45</v>
      </c>
      <c r="M20" s="14">
        <f t="shared" si="3"/>
        <v>38757.030520459797</v>
      </c>
      <c r="N20" s="14">
        <f t="shared" si="3"/>
        <v>38757.030520459797</v>
      </c>
      <c r="O20" s="18">
        <f t="shared" si="4"/>
        <v>3617.5087229280407</v>
      </c>
      <c r="P20" s="15">
        <v>750</v>
      </c>
      <c r="Q20" s="16">
        <f t="shared" si="5"/>
        <v>16500</v>
      </c>
      <c r="R20" s="19">
        <f t="shared" si="6"/>
        <v>0.42572921037615785</v>
      </c>
      <c r="S20" s="19">
        <f t="shared" si="7"/>
        <v>0.51906733959682561</v>
      </c>
      <c r="T20" s="20">
        <f>IF($Q20=0,"-",(VLOOKUP(L20,'APP 2885'!$B$10:$G$54,6)*$G20)/($Q20+$O20))</f>
        <v>5.1589724487895623</v>
      </c>
      <c r="U20" s="21">
        <f t="shared" si="8"/>
        <v>0.94416524070286367</v>
      </c>
      <c r="V20" s="22">
        <f t="shared" si="9"/>
        <v>1.0375033699235314</v>
      </c>
      <c r="W20" s="20">
        <f>IF($Q20=0,"-",(VLOOKUP(L20,'APP 2885'!$B$10:$G$54,4)*$G20)/($K20+$O20))</f>
        <v>2.346414375540677</v>
      </c>
    </row>
    <row r="21" spans="1:23" ht="20.100000000000001" customHeight="1" thickBot="1" x14ac:dyDescent="0.3">
      <c r="A21" s="3" t="s">
        <v>43</v>
      </c>
      <c r="B21" s="3" t="s">
        <v>29</v>
      </c>
      <c r="C21" s="3" t="s">
        <v>44</v>
      </c>
      <c r="D21" s="4">
        <v>4</v>
      </c>
      <c r="E21" s="4">
        <v>4</v>
      </c>
      <c r="F21" s="4">
        <v>78</v>
      </c>
      <c r="G21" s="42">
        <f t="shared" si="0"/>
        <v>312</v>
      </c>
      <c r="H21" s="5">
        <v>1747</v>
      </c>
      <c r="I21" s="6">
        <f t="shared" si="1"/>
        <v>84.766704886837985</v>
      </c>
      <c r="J21" s="6">
        <f t="shared" si="2"/>
        <v>6988</v>
      </c>
      <c r="K21" s="7">
        <f t="shared" si="10"/>
        <v>6648.9331804526482</v>
      </c>
      <c r="L21" s="4">
        <v>45</v>
      </c>
      <c r="M21" s="4">
        <f t="shared" si="3"/>
        <v>7138.2488325758304</v>
      </c>
      <c r="N21" s="4">
        <f t="shared" si="3"/>
        <v>7138.2488325758304</v>
      </c>
      <c r="O21" s="8">
        <f t="shared" si="4"/>
        <v>666.27079194424368</v>
      </c>
      <c r="P21" s="5">
        <v>750</v>
      </c>
      <c r="Q21" s="6">
        <f t="shared" si="5"/>
        <v>3000</v>
      </c>
      <c r="R21" s="9">
        <f t="shared" si="6"/>
        <v>0.4202711435764635</v>
      </c>
      <c r="S21" s="9">
        <f t="shared" si="7"/>
        <v>0.51360927279713131</v>
      </c>
      <c r="T21" s="10">
        <f>IF($Q21=0,"-",(VLOOKUP(L21,'APP 2885'!$B$10:$G$54,6)*$G21)/($Q21+$O21))</f>
        <v>5.2137962569539402</v>
      </c>
      <c r="U21" s="11">
        <f t="shared" si="8"/>
        <v>0.93145158377077575</v>
      </c>
      <c r="V21" s="12">
        <f t="shared" si="9"/>
        <v>1.0247897129914436</v>
      </c>
      <c r="W21" s="10">
        <f>IF($Q21=0,"-",(VLOOKUP(L21,'APP 2885'!$B$10:$G$54,4)*$G21)/($K21+$O21))</f>
        <v>2.3755242573173616</v>
      </c>
    </row>
    <row r="22" spans="1:23" ht="20.100000000000001" customHeight="1" thickBot="1" x14ac:dyDescent="0.3">
      <c r="A22" s="13" t="s">
        <v>43</v>
      </c>
      <c r="B22" s="13" t="s">
        <v>32</v>
      </c>
      <c r="C22" s="13" t="s">
        <v>44</v>
      </c>
      <c r="D22" s="14">
        <v>3</v>
      </c>
      <c r="E22" s="14">
        <v>3</v>
      </c>
      <c r="F22" s="14">
        <v>67</v>
      </c>
      <c r="G22" s="43">
        <f t="shared" si="0"/>
        <v>201</v>
      </c>
      <c r="H22" s="15">
        <v>1747</v>
      </c>
      <c r="I22" s="16">
        <f t="shared" si="1"/>
        <v>72.812425992540327</v>
      </c>
      <c r="J22" s="16">
        <f t="shared" si="2"/>
        <v>5241</v>
      </c>
      <c r="K22" s="17">
        <f t="shared" si="10"/>
        <v>5022.5627220223787</v>
      </c>
      <c r="L22" s="14">
        <v>45</v>
      </c>
      <c r="M22" s="14">
        <f t="shared" si="3"/>
        <v>4598.679536370968</v>
      </c>
      <c r="N22" s="14">
        <f t="shared" si="3"/>
        <v>4598.679536370968</v>
      </c>
      <c r="O22" s="18">
        <f t="shared" si="4"/>
        <v>429.23214481023388</v>
      </c>
      <c r="P22" s="15">
        <v>750</v>
      </c>
      <c r="Q22" s="16">
        <f t="shared" si="5"/>
        <v>2250</v>
      </c>
      <c r="R22" s="19">
        <f t="shared" si="6"/>
        <v>0.48927088356662918</v>
      </c>
      <c r="S22" s="19">
        <f t="shared" si="7"/>
        <v>0.58260901278729693</v>
      </c>
      <c r="T22" s="20">
        <f>IF($Q22=0,"-",(VLOOKUP(L22,'APP 2885'!$B$10:$G$54,6)*$G22)/($Q22+$O22))</f>
        <v>4.5963142438103146</v>
      </c>
      <c r="U22" s="21">
        <f t="shared" si="8"/>
        <v>1.0921749781212013</v>
      </c>
      <c r="V22" s="22">
        <f t="shared" si="9"/>
        <v>1.1855131073418692</v>
      </c>
      <c r="W22" s="20">
        <f>IF($Q22=0,"-",(VLOOKUP(L22,'APP 2885'!$B$10:$G$54,4)*$G22)/($K22+$O22))</f>
        <v>2.0534676561433023</v>
      </c>
    </row>
    <row r="23" spans="1:23" ht="20.100000000000001" customHeight="1" thickBot="1" x14ac:dyDescent="0.3">
      <c r="A23" s="3" t="s">
        <v>45</v>
      </c>
      <c r="B23" s="3" t="s">
        <v>32</v>
      </c>
      <c r="C23" s="3" t="s">
        <v>46</v>
      </c>
      <c r="D23" s="4">
        <v>5</v>
      </c>
      <c r="E23" s="4">
        <v>5</v>
      </c>
      <c r="F23" s="4">
        <v>54</v>
      </c>
      <c r="G23" s="42">
        <f t="shared" si="0"/>
        <v>270</v>
      </c>
      <c r="H23" s="5">
        <v>1171</v>
      </c>
      <c r="I23" s="6">
        <f t="shared" si="1"/>
        <v>34.113712611826358</v>
      </c>
      <c r="J23" s="6">
        <f t="shared" si="2"/>
        <v>5855</v>
      </c>
      <c r="K23" s="7">
        <f t="shared" si="10"/>
        <v>5684.4314369408685</v>
      </c>
      <c r="L23" s="4">
        <v>18</v>
      </c>
      <c r="M23" s="4">
        <f t="shared" si="3"/>
        <v>3590.9171170343534</v>
      </c>
      <c r="N23" s="4">
        <f t="shared" si="3"/>
        <v>3590.9171170343534</v>
      </c>
      <c r="O23" s="8">
        <f t="shared" si="4"/>
        <v>576.58049302867232</v>
      </c>
      <c r="P23" s="5">
        <v>250</v>
      </c>
      <c r="Q23" s="6">
        <f t="shared" si="5"/>
        <v>1250</v>
      </c>
      <c r="R23" s="9">
        <f t="shared" si="6"/>
        <v>0.34810048777520741</v>
      </c>
      <c r="S23" s="9">
        <f t="shared" si="7"/>
        <v>0.5086668484671677</v>
      </c>
      <c r="T23" s="10">
        <f>IF($Q23=0,"-",(VLOOKUP(L23,'APP 2885'!$B$10:$G$54,6)*$G23)/($Q23+$O23))</f>
        <v>2.7641101856316155</v>
      </c>
      <c r="U23" s="11">
        <f t="shared" si="8"/>
        <v>1.5830026847390717</v>
      </c>
      <c r="V23" s="12">
        <f t="shared" si="9"/>
        <v>1.743569045431032</v>
      </c>
      <c r="W23" s="10">
        <f>IF($Q23=0,"-",(VLOOKUP(L23,'APP 2885'!$B$10:$G$54,4)*$G23)/($K23+$O23))</f>
        <v>0.73308941722186549</v>
      </c>
    </row>
    <row r="24" spans="1:23" ht="20.100000000000001" customHeight="1" thickBot="1" x14ac:dyDescent="0.3">
      <c r="A24" s="13" t="s">
        <v>47</v>
      </c>
      <c r="B24" s="13" t="s">
        <v>27</v>
      </c>
      <c r="C24" s="13" t="s">
        <v>48</v>
      </c>
      <c r="D24" s="14">
        <v>90</v>
      </c>
      <c r="E24" s="14">
        <v>10086</v>
      </c>
      <c r="F24" s="14">
        <v>6.3E-2</v>
      </c>
      <c r="G24" s="43">
        <f t="shared" si="0"/>
        <v>635.41800000000001</v>
      </c>
      <c r="H24" s="15">
        <v>0.61</v>
      </c>
      <c r="I24" s="16">
        <f t="shared" si="1"/>
        <v>5.5734293120935273E-2</v>
      </c>
      <c r="J24" s="16">
        <f t="shared" si="2"/>
        <v>6152.46</v>
      </c>
      <c r="K24" s="17">
        <f t="shared" si="10"/>
        <v>5590.3239195822471</v>
      </c>
      <c r="L24" s="14">
        <v>30</v>
      </c>
      <c r="M24" s="14">
        <f t="shared" si="3"/>
        <v>11834.443798268489</v>
      </c>
      <c r="N24" s="14">
        <f t="shared" si="3"/>
        <v>11834.443798268489</v>
      </c>
      <c r="O24" s="18">
        <f t="shared" si="4"/>
        <v>1356.9245322936774</v>
      </c>
      <c r="P24" s="15">
        <v>0.5</v>
      </c>
      <c r="Q24" s="16">
        <f t="shared" si="5"/>
        <v>5043</v>
      </c>
      <c r="R24" s="19">
        <f t="shared" si="6"/>
        <v>0.42612902523884116</v>
      </c>
      <c r="S24" s="19">
        <f t="shared" si="7"/>
        <v>0.54078794418965914</v>
      </c>
      <c r="T24" s="20">
        <f>IF($Q24=0,"-",(VLOOKUP(L24,'APP 2885'!$B$10:$G$54,6)*$G24)/($Q24+$O24))</f>
        <v>3.4608373135067261</v>
      </c>
      <c r="U24" s="21">
        <f t="shared" si="8"/>
        <v>0.47237741079138623</v>
      </c>
      <c r="V24" s="22">
        <f t="shared" si="9"/>
        <v>0.58703632974220421</v>
      </c>
      <c r="W24" s="20">
        <f>IF($Q24=0,"-",(VLOOKUP(L24,'APP 2885'!$B$10:$G$54,4)*$G24)/($K24+$O24))</f>
        <v>2.8983479481013084</v>
      </c>
    </row>
    <row r="25" spans="1:23" ht="20.100000000000001" customHeight="1" thickBot="1" x14ac:dyDescent="0.3">
      <c r="A25" s="3" t="s">
        <v>47</v>
      </c>
      <c r="B25" s="3" t="s">
        <v>29</v>
      </c>
      <c r="C25" s="3" t="s">
        <v>48</v>
      </c>
      <c r="D25" s="4">
        <v>43</v>
      </c>
      <c r="E25" s="4">
        <v>4497.42</v>
      </c>
      <c r="F25" s="4">
        <v>6.3E-2</v>
      </c>
      <c r="G25" s="42">
        <f t="shared" si="0"/>
        <v>283.33746000000002</v>
      </c>
      <c r="H25" s="5">
        <v>0.61</v>
      </c>
      <c r="I25" s="6">
        <f t="shared" si="1"/>
        <v>5.5734293120935273E-2</v>
      </c>
      <c r="J25" s="6">
        <f t="shared" si="2"/>
        <v>2743.4261999999999</v>
      </c>
      <c r="K25" s="7">
        <f t="shared" si="10"/>
        <v>2492.7656754320433</v>
      </c>
      <c r="L25" s="4">
        <v>30</v>
      </c>
      <c r="M25" s="4">
        <f t="shared" ref="M25:N44" si="11">PV($B$80,$L25,-$G25)</f>
        <v>5277.0636751148795</v>
      </c>
      <c r="N25" s="4">
        <f t="shared" si="11"/>
        <v>5277.0636751148795</v>
      </c>
      <c r="O25" s="8">
        <f t="shared" si="4"/>
        <v>605.06241622330276</v>
      </c>
      <c r="P25" s="5">
        <v>0.5</v>
      </c>
      <c r="Q25" s="6">
        <f t="shared" si="5"/>
        <v>2248.71</v>
      </c>
      <c r="R25" s="9">
        <f t="shared" si="6"/>
        <v>0.42612902523884111</v>
      </c>
      <c r="S25" s="9">
        <f t="shared" si="7"/>
        <v>0.54078794418965903</v>
      </c>
      <c r="T25" s="10">
        <f>IF($Q25=0,"-",(VLOOKUP(L25,'APP 2885'!$B$10:$G$54,6)*$G25)/($Q25+$O25))</f>
        <v>3.4608373135067265</v>
      </c>
      <c r="U25" s="11">
        <f t="shared" si="8"/>
        <v>0.47237741079138612</v>
      </c>
      <c r="V25" s="12">
        <f t="shared" si="9"/>
        <v>0.5870363297422041</v>
      </c>
      <c r="W25" s="10">
        <f>IF($Q25=0,"-",(VLOOKUP(L25,'APP 2885'!$B$10:$G$54,4)*$G25)/($K25+$O25))</f>
        <v>2.8983479481013092</v>
      </c>
    </row>
    <row r="26" spans="1:23" ht="20.100000000000001" customHeight="1" thickBot="1" x14ac:dyDescent="0.3">
      <c r="A26" s="13" t="s">
        <v>47</v>
      </c>
      <c r="B26" s="13" t="s">
        <v>32</v>
      </c>
      <c r="C26" s="13" t="s">
        <v>48</v>
      </c>
      <c r="D26" s="14">
        <v>13</v>
      </c>
      <c r="E26" s="14">
        <v>1968</v>
      </c>
      <c r="F26" s="14">
        <v>6.3E-2</v>
      </c>
      <c r="G26" s="43">
        <f t="shared" si="0"/>
        <v>123.98399999999999</v>
      </c>
      <c r="H26" s="15">
        <v>0.61</v>
      </c>
      <c r="I26" s="16">
        <f t="shared" si="1"/>
        <v>5.5734293120935273E-2</v>
      </c>
      <c r="J26" s="16">
        <f t="shared" si="2"/>
        <v>1200.48</v>
      </c>
      <c r="K26" s="17">
        <f t="shared" si="10"/>
        <v>1090.7949111379994</v>
      </c>
      <c r="L26" s="14">
        <v>30</v>
      </c>
      <c r="M26" s="14">
        <f t="shared" si="11"/>
        <v>2309.1597655158025</v>
      </c>
      <c r="N26" s="14">
        <f t="shared" si="11"/>
        <v>2309.1597655158025</v>
      </c>
      <c r="O26" s="18">
        <f t="shared" si="4"/>
        <v>264.76576239876636</v>
      </c>
      <c r="P26" s="15">
        <v>0.5</v>
      </c>
      <c r="Q26" s="16">
        <f t="shared" si="5"/>
        <v>984</v>
      </c>
      <c r="R26" s="19">
        <f t="shared" si="6"/>
        <v>0.42612902523884116</v>
      </c>
      <c r="S26" s="19">
        <f t="shared" si="7"/>
        <v>0.54078794418965925</v>
      </c>
      <c r="T26" s="20">
        <f>IF($Q26=0,"-",(VLOOKUP(L26,'APP 2885'!$B$10:$G$54,6)*$G26)/($Q26+$O26))</f>
        <v>3.4608373135067261</v>
      </c>
      <c r="U26" s="21">
        <f t="shared" si="8"/>
        <v>0.47237741079138623</v>
      </c>
      <c r="V26" s="22">
        <f t="shared" si="9"/>
        <v>0.58703632974220432</v>
      </c>
      <c r="W26" s="20">
        <f>IF($Q26=0,"-",(VLOOKUP(L26,'APP 2885'!$B$10:$G$54,4)*$G26)/($K26+$O26))</f>
        <v>2.8983479481013084</v>
      </c>
    </row>
    <row r="27" spans="1:23" ht="20.100000000000001" customHeight="1" thickBot="1" x14ac:dyDescent="0.3">
      <c r="A27" s="3" t="s">
        <v>49</v>
      </c>
      <c r="B27" s="3" t="s">
        <v>27</v>
      </c>
      <c r="C27" s="3" t="s">
        <v>50</v>
      </c>
      <c r="D27" s="4">
        <v>120</v>
      </c>
      <c r="E27" s="4">
        <v>120</v>
      </c>
      <c r="F27" s="4">
        <v>27.72</v>
      </c>
      <c r="G27" s="42">
        <f t="shared" si="0"/>
        <v>3326.3999999999996</v>
      </c>
      <c r="H27" s="5">
        <v>793.95</v>
      </c>
      <c r="I27" s="6">
        <f t="shared" si="1"/>
        <v>24.523088973211518</v>
      </c>
      <c r="J27" s="6">
        <f t="shared" si="2"/>
        <v>95274</v>
      </c>
      <c r="K27" s="7">
        <f t="shared" si="10"/>
        <v>92331.229323214618</v>
      </c>
      <c r="L27" s="4">
        <v>30</v>
      </c>
      <c r="M27" s="4">
        <f t="shared" si="11"/>
        <v>61953.066879692255</v>
      </c>
      <c r="N27" s="4">
        <f t="shared" si="11"/>
        <v>61953.066879692255</v>
      </c>
      <c r="O27" s="8">
        <f t="shared" si="4"/>
        <v>7103.4716741132434</v>
      </c>
      <c r="P27" s="5">
        <v>150</v>
      </c>
      <c r="Q27" s="6">
        <f t="shared" si="5"/>
        <v>18000</v>
      </c>
      <c r="R27" s="9">
        <f t="shared" si="6"/>
        <v>0.29054251720830082</v>
      </c>
      <c r="S27" s="9">
        <f t="shared" si="7"/>
        <v>0.40520143615911886</v>
      </c>
      <c r="T27" s="10">
        <f>IF($Q27=0,"-",(VLOOKUP(L27,'APP 2885'!$B$10:$G$54,6)*$G27)/($Q27+$O27))</f>
        <v>4.6188856428712493</v>
      </c>
      <c r="U27" s="11">
        <f t="shared" si="8"/>
        <v>1.4903415435835363</v>
      </c>
      <c r="V27" s="12">
        <f t="shared" si="9"/>
        <v>1.6050004625343544</v>
      </c>
      <c r="W27" s="10">
        <f>IF($Q27=0,"-",(VLOOKUP(L27,'APP 2885'!$B$10:$G$54,4)*$G27)/($K27+$O27))</f>
        <v>1.0600841442018105</v>
      </c>
    </row>
    <row r="28" spans="1:23" ht="20.100000000000001" customHeight="1" thickBot="1" x14ac:dyDescent="0.3">
      <c r="A28" s="13" t="s">
        <v>49</v>
      </c>
      <c r="B28" s="13" t="s">
        <v>29</v>
      </c>
      <c r="C28" s="13" t="s">
        <v>50</v>
      </c>
      <c r="D28" s="14">
        <v>16</v>
      </c>
      <c r="E28" s="14">
        <v>16</v>
      </c>
      <c r="F28" s="14">
        <v>27.72</v>
      </c>
      <c r="G28" s="43">
        <f t="shared" si="0"/>
        <v>443.52</v>
      </c>
      <c r="H28" s="15">
        <v>793.95</v>
      </c>
      <c r="I28" s="16">
        <f t="shared" si="1"/>
        <v>24.523088973211518</v>
      </c>
      <c r="J28" s="16">
        <f t="shared" si="2"/>
        <v>12703.2</v>
      </c>
      <c r="K28" s="17">
        <f t="shared" si="10"/>
        <v>12310.830576428616</v>
      </c>
      <c r="L28" s="14">
        <v>30</v>
      </c>
      <c r="M28" s="14">
        <f t="shared" si="11"/>
        <v>8260.4089172923013</v>
      </c>
      <c r="N28" s="14">
        <f t="shared" si="11"/>
        <v>8260.4089172923013</v>
      </c>
      <c r="O28" s="18">
        <f t="shared" si="4"/>
        <v>947.12955654843245</v>
      </c>
      <c r="P28" s="15">
        <v>150</v>
      </c>
      <c r="Q28" s="16">
        <f t="shared" si="5"/>
        <v>2400</v>
      </c>
      <c r="R28" s="19">
        <f t="shared" si="6"/>
        <v>0.29054251720830082</v>
      </c>
      <c r="S28" s="19">
        <f t="shared" si="7"/>
        <v>0.40520143615911886</v>
      </c>
      <c r="T28" s="20">
        <f>IF($Q28=0,"-",(VLOOKUP(L28,'APP 2885'!$B$10:$G$54,6)*$G28)/($Q28+$O28))</f>
        <v>4.6188856428712501</v>
      </c>
      <c r="U28" s="21">
        <f t="shared" si="8"/>
        <v>1.4903415435835363</v>
      </c>
      <c r="V28" s="22">
        <f t="shared" si="9"/>
        <v>1.6050004625343544</v>
      </c>
      <c r="W28" s="20">
        <f>IF($Q28=0,"-",(VLOOKUP(L28,'APP 2885'!$B$10:$G$54,4)*$G28)/($K28+$O28))</f>
        <v>1.0600841442018105</v>
      </c>
    </row>
    <row r="29" spans="1:23" ht="20.100000000000001" customHeight="1" thickBot="1" x14ac:dyDescent="0.3">
      <c r="A29" s="3" t="s">
        <v>49</v>
      </c>
      <c r="B29" s="3" t="s">
        <v>32</v>
      </c>
      <c r="C29" s="3" t="s">
        <v>50</v>
      </c>
      <c r="D29" s="4">
        <v>28</v>
      </c>
      <c r="E29" s="4">
        <v>28</v>
      </c>
      <c r="F29" s="4">
        <v>27.72</v>
      </c>
      <c r="G29" s="42">
        <f t="shared" si="0"/>
        <v>776.16</v>
      </c>
      <c r="H29" s="5">
        <v>793.95</v>
      </c>
      <c r="I29" s="6">
        <f t="shared" si="1"/>
        <v>24.523088973211518</v>
      </c>
      <c r="J29" s="6">
        <f t="shared" si="2"/>
        <v>22230.600000000002</v>
      </c>
      <c r="K29" s="7">
        <f t="shared" si="10"/>
        <v>21543.953508750081</v>
      </c>
      <c r="L29" s="4">
        <v>30</v>
      </c>
      <c r="M29" s="4">
        <f t="shared" si="11"/>
        <v>14455.715605261528</v>
      </c>
      <c r="N29" s="4">
        <f t="shared" si="11"/>
        <v>14455.715605261528</v>
      </c>
      <c r="O29" s="8">
        <f t="shared" si="4"/>
        <v>1657.4767239597568</v>
      </c>
      <c r="P29" s="5">
        <v>150</v>
      </c>
      <c r="Q29" s="6">
        <f t="shared" si="5"/>
        <v>4200</v>
      </c>
      <c r="R29" s="9">
        <f t="shared" si="6"/>
        <v>0.29054251720830082</v>
      </c>
      <c r="S29" s="9">
        <f t="shared" si="7"/>
        <v>0.4052014361591188</v>
      </c>
      <c r="T29" s="10">
        <f>IF($Q29=0,"-",(VLOOKUP(L29,'APP 2885'!$B$10:$G$54,6)*$G29)/($Q29+$O29))</f>
        <v>4.6188856428712493</v>
      </c>
      <c r="U29" s="11">
        <f t="shared" si="8"/>
        <v>1.4903415435835363</v>
      </c>
      <c r="V29" s="12">
        <f t="shared" si="9"/>
        <v>1.6050004625343544</v>
      </c>
      <c r="W29" s="10">
        <f>IF($Q29=0,"-",(VLOOKUP(L29,'APP 2885'!$B$10:$G$54,4)*$G29)/($K29+$O29))</f>
        <v>1.0600841442018105</v>
      </c>
    </row>
    <row r="30" spans="1:23" ht="20.100000000000001" customHeight="1" thickBot="1" x14ac:dyDescent="0.3">
      <c r="A30" s="13" t="s">
        <v>55</v>
      </c>
      <c r="B30" s="13" t="s">
        <v>27</v>
      </c>
      <c r="C30" s="13" t="s">
        <v>56</v>
      </c>
      <c r="D30" s="14">
        <v>2</v>
      </c>
      <c r="E30" s="14">
        <v>2</v>
      </c>
      <c r="F30" s="14">
        <v>191</v>
      </c>
      <c r="G30" s="43">
        <f t="shared" ref="G30:G59" si="12">IF(ISNUMBER(E30),E30*F30,"")</f>
        <v>382</v>
      </c>
      <c r="H30" s="15">
        <v>1142</v>
      </c>
      <c r="I30" s="16">
        <f t="shared" si="1"/>
        <v>168.97222200156568</v>
      </c>
      <c r="J30" s="16">
        <f t="shared" ref="J30:J59" si="13">IF(ISNUMBER(H30),H30*E30,"")</f>
        <v>2284</v>
      </c>
      <c r="K30" s="17">
        <f t="shared" si="10"/>
        <v>1946.0555559968686</v>
      </c>
      <c r="L30" s="14">
        <v>30</v>
      </c>
      <c r="M30" s="14">
        <f t="shared" si="11"/>
        <v>7114.6198737501336</v>
      </c>
      <c r="N30" s="14">
        <f t="shared" si="11"/>
        <v>7114.6198737501336</v>
      </c>
      <c r="O30" s="18">
        <f t="shared" si="4"/>
        <v>815.75462347019572</v>
      </c>
      <c r="P30" s="15">
        <v>2000</v>
      </c>
      <c r="Q30" s="16">
        <f t="shared" ref="Q30:Q59" si="14">IF(ISNUMBER(P30),P30*E30,"")</f>
        <v>4000</v>
      </c>
      <c r="R30" s="19">
        <f t="shared" ref="R30:R59" si="15">IF(ISERROR(Q30/N30),0,Q30/N30)</f>
        <v>0.56222258827323546</v>
      </c>
      <c r="S30" s="19">
        <f t="shared" ref="S30:S59" si="16">IF(ISERROR((O30+Q30)/N30),0,(O30+Q30)/N30)</f>
        <v>0.67688150722405349</v>
      </c>
      <c r="T30" s="20">
        <f>IF($Q30=0,"-",(VLOOKUP(L30,'APP 2885'!$B$10:$G$54,6)*$G30)/($Q30+$O30))</f>
        <v>2.7650025535808544</v>
      </c>
      <c r="U30" s="21">
        <f t="shared" ref="U30:U59" si="17">IF(ISERROR(RK30/M30),0,K30/M30)</f>
        <v>0.27352909790401747</v>
      </c>
      <c r="V30" s="22">
        <f t="shared" ref="V30:V59" si="18">IF(ISERROR(K30/M30),0,(K30+O30)/M30)</f>
        <v>0.38818801685483545</v>
      </c>
      <c r="W30" s="20">
        <f>IF($Q30=0,"-",(VLOOKUP(L30,'APP 2885'!$B$10:$G$54,4)*$G30)/($K30+$O30))</f>
        <v>4.3830192275242235</v>
      </c>
    </row>
    <row r="31" spans="1:23" ht="20.100000000000001" customHeight="1" thickBot="1" x14ac:dyDescent="0.3">
      <c r="A31" s="3" t="s">
        <v>55</v>
      </c>
      <c r="B31" s="3" t="s">
        <v>32</v>
      </c>
      <c r="C31" s="3" t="s">
        <v>56</v>
      </c>
      <c r="D31" s="4">
        <v>48</v>
      </c>
      <c r="E31" s="4">
        <v>48</v>
      </c>
      <c r="F31" s="4">
        <v>205</v>
      </c>
      <c r="G31" s="42">
        <f t="shared" si="12"/>
        <v>9840</v>
      </c>
      <c r="H31" s="5">
        <v>1142</v>
      </c>
      <c r="I31" s="6">
        <f t="shared" si="1"/>
        <v>181.35762047288466</v>
      </c>
      <c r="J31" s="6">
        <f t="shared" si="13"/>
        <v>54816</v>
      </c>
      <c r="K31" s="7">
        <f t="shared" si="10"/>
        <v>46110.834217301541</v>
      </c>
      <c r="L31" s="4">
        <v>30</v>
      </c>
      <c r="M31" s="4">
        <f t="shared" si="11"/>
        <v>183266.64805680973</v>
      </c>
      <c r="N31" s="4">
        <f t="shared" si="11"/>
        <v>183266.64805680973</v>
      </c>
      <c r="O31" s="8">
        <f t="shared" si="4"/>
        <v>21013.155745933836</v>
      </c>
      <c r="P31" s="5">
        <v>2000</v>
      </c>
      <c r="Q31" s="6">
        <f t="shared" si="14"/>
        <v>96000</v>
      </c>
      <c r="R31" s="9">
        <f t="shared" si="15"/>
        <v>0.52382689931799009</v>
      </c>
      <c r="S31" s="9">
        <f t="shared" si="16"/>
        <v>0.63848581826880813</v>
      </c>
      <c r="T31" s="10">
        <f>IF($Q31=0,"-",(VLOOKUP(L31,'APP 2885'!$B$10:$G$54,6)*$G31)/($Q31+$O31))</f>
        <v>2.9312774730388984</v>
      </c>
      <c r="U31" s="11">
        <f t="shared" si="17"/>
        <v>0.25160515951057238</v>
      </c>
      <c r="V31" s="12">
        <f t="shared" si="18"/>
        <v>0.36626407846139036</v>
      </c>
      <c r="W31" s="10">
        <f>IF($Q31=0,"-",(VLOOKUP(L31,'APP 2885'!$B$10:$G$54,4)*$G31)/($K31+$O31))</f>
        <v>4.6453792272413557</v>
      </c>
    </row>
    <row r="32" spans="1:23" ht="20.100000000000001" customHeight="1" thickBot="1" x14ac:dyDescent="0.3">
      <c r="A32" s="13" t="s">
        <v>57</v>
      </c>
      <c r="B32" s="13" t="s">
        <v>27</v>
      </c>
      <c r="C32" s="13" t="s">
        <v>58</v>
      </c>
      <c r="D32" s="14">
        <v>339</v>
      </c>
      <c r="E32" s="14">
        <v>417238</v>
      </c>
      <c r="F32" s="14">
        <v>5.6000000000000001E-2</v>
      </c>
      <c r="G32" s="43">
        <f t="shared" si="12"/>
        <v>23365.328000000001</v>
      </c>
      <c r="H32" s="15">
        <v>1.08</v>
      </c>
      <c r="I32" s="16">
        <f t="shared" si="1"/>
        <v>6.0858147098242658E-2</v>
      </c>
      <c r="J32" s="16">
        <f t="shared" si="13"/>
        <v>450617.04000000004</v>
      </c>
      <c r="K32" s="17">
        <f t="shared" si="10"/>
        <v>425224.70842102345</v>
      </c>
      <c r="L32" s="14">
        <v>45</v>
      </c>
      <c r="M32" s="14">
        <f t="shared" si="11"/>
        <v>534575.4016626646</v>
      </c>
      <c r="N32" s="14">
        <f t="shared" si="11"/>
        <v>534575.4016626646</v>
      </c>
      <c r="O32" s="18">
        <f t="shared" si="4"/>
        <v>49896.267918580161</v>
      </c>
      <c r="P32" s="15">
        <v>0.75</v>
      </c>
      <c r="Q32" s="16">
        <f t="shared" si="14"/>
        <v>312928.5</v>
      </c>
      <c r="R32" s="19">
        <f t="shared" si="15"/>
        <v>0.58537766426721705</v>
      </c>
      <c r="S32" s="19">
        <f t="shared" si="16"/>
        <v>0.6787157934878848</v>
      </c>
      <c r="T32" s="20">
        <f>IF($Q32=0,"-",(VLOOKUP(L32,'APP 2885'!$B$10:$G$54,6)*$G32)/($Q32+$O32))</f>
        <v>3.9454719187911738</v>
      </c>
      <c r="U32" s="21">
        <f t="shared" si="17"/>
        <v>0.79544383654479267</v>
      </c>
      <c r="V32" s="22">
        <f t="shared" si="18"/>
        <v>0.88878196576546042</v>
      </c>
      <c r="W32" s="20">
        <f>IF($Q32=0,"-",(VLOOKUP(L32,'APP 2885'!$B$10:$G$54,4)*$G32)/($K32+$O32))</f>
        <v>2.7390439001131646</v>
      </c>
    </row>
    <row r="33" spans="1:23" ht="20.100000000000001" customHeight="1" thickBot="1" x14ac:dyDescent="0.3">
      <c r="A33" s="3" t="s">
        <v>57</v>
      </c>
      <c r="B33" s="3" t="s">
        <v>29</v>
      </c>
      <c r="C33" s="3" t="s">
        <v>58</v>
      </c>
      <c r="D33" s="4">
        <v>73</v>
      </c>
      <c r="E33" s="4">
        <v>81477</v>
      </c>
      <c r="F33" s="4">
        <v>5.3999999999999999E-2</v>
      </c>
      <c r="G33" s="42">
        <f t="shared" si="12"/>
        <v>4399.7579999999998</v>
      </c>
      <c r="H33" s="5">
        <v>1.08</v>
      </c>
      <c r="I33" s="6">
        <f t="shared" si="1"/>
        <v>5.8684641844733994E-2</v>
      </c>
      <c r="J33" s="6">
        <f t="shared" si="13"/>
        <v>87995.16</v>
      </c>
      <c r="K33" s="7">
        <f t="shared" si="10"/>
        <v>83213.711436416605</v>
      </c>
      <c r="L33" s="4">
        <v>45</v>
      </c>
      <c r="M33" s="4">
        <f t="shared" si="11"/>
        <v>100662.07502280825</v>
      </c>
      <c r="N33" s="4">
        <f t="shared" si="11"/>
        <v>100662.07502280825</v>
      </c>
      <c r="O33" s="8">
        <f t="shared" si="4"/>
        <v>9395.6097660994274</v>
      </c>
      <c r="P33" s="5">
        <v>0.75</v>
      </c>
      <c r="Q33" s="6">
        <f t="shared" si="14"/>
        <v>61107.75</v>
      </c>
      <c r="R33" s="9">
        <f t="shared" si="15"/>
        <v>0.60705831849933611</v>
      </c>
      <c r="S33" s="9">
        <f t="shared" si="16"/>
        <v>0.70039644772000387</v>
      </c>
      <c r="T33" s="10">
        <f>IF($Q33=0,"-",(VLOOKUP(L33,'APP 2885'!$B$10:$G$54,6)*$G33)/($Q33+$O33))</f>
        <v>3.8233404991754596</v>
      </c>
      <c r="U33" s="11">
        <f t="shared" si="17"/>
        <v>0.82666397863904406</v>
      </c>
      <c r="V33" s="12">
        <f t="shared" si="18"/>
        <v>0.92000210785971182</v>
      </c>
      <c r="W33" s="10">
        <f>IF($Q33=0,"-",(VLOOKUP(L33,'APP 2885'!$B$10:$G$54,4)*$G33)/($K33+$O33))</f>
        <v>2.6460948307215042</v>
      </c>
    </row>
    <row r="34" spans="1:23" ht="20.100000000000001" customHeight="1" thickBot="1" x14ac:dyDescent="0.3">
      <c r="A34" s="13" t="s">
        <v>57</v>
      </c>
      <c r="B34" s="13" t="s">
        <v>32</v>
      </c>
      <c r="C34" s="13" t="s">
        <v>58</v>
      </c>
      <c r="D34" s="14">
        <v>28</v>
      </c>
      <c r="E34" s="14">
        <v>28842</v>
      </c>
      <c r="F34" s="14">
        <v>5.8999999999999997E-2</v>
      </c>
      <c r="G34" s="43">
        <f t="shared" si="12"/>
        <v>1701.6779999999999</v>
      </c>
      <c r="H34" s="15">
        <v>1.08</v>
      </c>
      <c r="I34" s="16">
        <f t="shared" si="1"/>
        <v>6.4118404978505655E-2</v>
      </c>
      <c r="J34" s="16">
        <f t="shared" si="13"/>
        <v>31149.360000000001</v>
      </c>
      <c r="K34" s="17">
        <f t="shared" si="10"/>
        <v>29300.056963609939</v>
      </c>
      <c r="L34" s="14">
        <v>45</v>
      </c>
      <c r="M34" s="14">
        <f t="shared" si="11"/>
        <v>38932.695502948634</v>
      </c>
      <c r="N34" s="14">
        <f t="shared" si="11"/>
        <v>38932.695502948634</v>
      </c>
      <c r="O34" s="18">
        <f t="shared" si="4"/>
        <v>3633.9049637631301</v>
      </c>
      <c r="P34" s="15">
        <v>0.75</v>
      </c>
      <c r="Q34" s="16">
        <f t="shared" si="14"/>
        <v>21631.5</v>
      </c>
      <c r="R34" s="19">
        <f t="shared" si="15"/>
        <v>0.55561269828752802</v>
      </c>
      <c r="S34" s="19">
        <f t="shared" si="16"/>
        <v>0.64895082750819577</v>
      </c>
      <c r="T34" s="20">
        <f>IF($Q34=0,"-",(VLOOKUP(L34,'APP 2885'!$B$10:$G$54,6)*$G34)/($Q34+$O34))</f>
        <v>4.126436072712611</v>
      </c>
      <c r="U34" s="21">
        <f t="shared" si="17"/>
        <v>0.75258228553404038</v>
      </c>
      <c r="V34" s="22">
        <f t="shared" si="18"/>
        <v>0.84592041475470825</v>
      </c>
      <c r="W34" s="20">
        <f>IF($Q34=0,"-",(VLOOKUP(L34,'APP 2885'!$B$10:$G$54,4)*$G34)/($K34+$O34))</f>
        <v>2.8778272511207552</v>
      </c>
    </row>
    <row r="35" spans="1:23" ht="20.100000000000001" customHeight="1" thickBot="1" x14ac:dyDescent="0.3">
      <c r="A35" s="3" t="s">
        <v>59</v>
      </c>
      <c r="B35" s="3" t="s">
        <v>27</v>
      </c>
      <c r="C35" s="3" t="s">
        <v>60</v>
      </c>
      <c r="D35" s="4">
        <v>36</v>
      </c>
      <c r="E35" s="4">
        <v>36</v>
      </c>
      <c r="F35" s="4">
        <v>159</v>
      </c>
      <c r="G35" s="42">
        <f t="shared" si="12"/>
        <v>5724</v>
      </c>
      <c r="H35" s="5">
        <v>2500</v>
      </c>
      <c r="I35" s="6">
        <f t="shared" si="1"/>
        <v>112.05942902505372</v>
      </c>
      <c r="J35" s="6">
        <f t="shared" si="13"/>
        <v>90000</v>
      </c>
      <c r="K35" s="7">
        <f t="shared" si="10"/>
        <v>85965.860555098072</v>
      </c>
      <c r="L35" s="4">
        <v>21</v>
      </c>
      <c r="M35" s="4">
        <f t="shared" si="11"/>
        <v>84929.25147161966</v>
      </c>
      <c r="N35" s="4">
        <f t="shared" si="11"/>
        <v>84929.25147161966</v>
      </c>
      <c r="O35" s="8">
        <f t="shared" si="4"/>
        <v>12223.506452207854</v>
      </c>
      <c r="P35" s="5">
        <v>1250</v>
      </c>
      <c r="Q35" s="6">
        <f t="shared" si="14"/>
        <v>45000</v>
      </c>
      <c r="R35" s="9">
        <f t="shared" si="15"/>
        <v>0.52985278005231684</v>
      </c>
      <c r="S35" s="9">
        <f t="shared" si="16"/>
        <v>0.67377853284542277</v>
      </c>
      <c r="T35" s="10">
        <f>IF($Q35=0,"-",(VLOOKUP(L35,'APP 2885'!$B$10:$G$54,6)*$G35)/($Q35+$O35))</f>
        <v>2.2399269457141906</v>
      </c>
      <c r="U35" s="11">
        <f t="shared" si="17"/>
        <v>1.0122055601046338</v>
      </c>
      <c r="V35" s="12">
        <f t="shared" si="18"/>
        <v>1.1561313128977397</v>
      </c>
      <c r="W35" s="10">
        <f>IF($Q35=0,"-",(VLOOKUP(L35,'APP 2885'!$B$10:$G$54,4)*$G35)/($K35+$O35))</f>
        <v>1.1867279610004007</v>
      </c>
    </row>
    <row r="36" spans="1:23" ht="20.100000000000001" customHeight="1" thickBot="1" x14ac:dyDescent="0.3">
      <c r="A36" s="13" t="s">
        <v>59</v>
      </c>
      <c r="B36" s="13" t="s">
        <v>29</v>
      </c>
      <c r="C36" s="13" t="s">
        <v>60</v>
      </c>
      <c r="D36" s="14">
        <v>3</v>
      </c>
      <c r="E36" s="14">
        <v>3</v>
      </c>
      <c r="F36" s="14">
        <v>160</v>
      </c>
      <c r="G36" s="43">
        <f t="shared" si="12"/>
        <v>480</v>
      </c>
      <c r="H36" s="15">
        <v>2500</v>
      </c>
      <c r="I36" s="16">
        <f t="shared" si="1"/>
        <v>112.76420530823015</v>
      </c>
      <c r="J36" s="16">
        <f t="shared" si="13"/>
        <v>7500</v>
      </c>
      <c r="K36" s="17">
        <f t="shared" si="10"/>
        <v>7161.7073840753092</v>
      </c>
      <c r="L36" s="14">
        <v>21</v>
      </c>
      <c r="M36" s="14">
        <f t="shared" si="11"/>
        <v>7121.9498089408517</v>
      </c>
      <c r="N36" s="14">
        <f t="shared" si="11"/>
        <v>7121.9498089408517</v>
      </c>
      <c r="O36" s="18">
        <f t="shared" si="4"/>
        <v>1025.0319876065287</v>
      </c>
      <c r="P36" s="15">
        <v>1250</v>
      </c>
      <c r="Q36" s="16">
        <f t="shared" si="14"/>
        <v>3750</v>
      </c>
      <c r="R36" s="19">
        <f t="shared" si="15"/>
        <v>0.52654120017698991</v>
      </c>
      <c r="S36" s="19">
        <f t="shared" si="16"/>
        <v>0.67046695297009584</v>
      </c>
      <c r="T36" s="20">
        <f>IF($Q36=0,"-",(VLOOKUP(L36,'APP 2885'!$B$10:$G$54,6)*$G36)/($Q36+$O36))</f>
        <v>2.2509904246265671</v>
      </c>
      <c r="U36" s="21">
        <f t="shared" si="17"/>
        <v>1.0055824003539797</v>
      </c>
      <c r="V36" s="22">
        <f t="shared" si="18"/>
        <v>1.1495081531470857</v>
      </c>
      <c r="W36" s="20">
        <f>IF($Q36=0,"-",(VLOOKUP(L36,'APP 2885'!$B$10:$G$54,4)*$G36)/($K36+$O36))</f>
        <v>1.1935655713685875</v>
      </c>
    </row>
    <row r="37" spans="1:23" ht="20.100000000000001" customHeight="1" thickBot="1" x14ac:dyDescent="0.3">
      <c r="A37" s="3" t="s">
        <v>61</v>
      </c>
      <c r="B37" s="3" t="s">
        <v>27</v>
      </c>
      <c r="C37" s="3" t="s">
        <v>62</v>
      </c>
      <c r="D37" s="4">
        <v>31</v>
      </c>
      <c r="E37" s="4">
        <v>39</v>
      </c>
      <c r="F37" s="4">
        <v>13</v>
      </c>
      <c r="G37" s="42">
        <f t="shared" si="12"/>
        <v>507</v>
      </c>
      <c r="H37" s="5">
        <v>200</v>
      </c>
      <c r="I37" s="6">
        <f t="shared" ref="I37:I65" si="19">PV($B$80,$L37,(-0.05*0.95*$F37))</f>
        <v>10.288686309876404</v>
      </c>
      <c r="J37" s="6">
        <f t="shared" si="13"/>
        <v>7800</v>
      </c>
      <c r="K37" s="7">
        <f t="shared" si="10"/>
        <v>7398.7412339148204</v>
      </c>
      <c r="L37" s="4">
        <v>25</v>
      </c>
      <c r="M37" s="4">
        <f t="shared" si="11"/>
        <v>8447.5529702143122</v>
      </c>
      <c r="N37" s="4">
        <f t="shared" si="11"/>
        <v>8447.5529702143122</v>
      </c>
      <c r="O37" s="8">
        <f t="shared" ref="O37:O64" si="20">(G37/$G$76)*$O$76</f>
        <v>1082.6900369093958</v>
      </c>
      <c r="P37" s="5">
        <v>100</v>
      </c>
      <c r="Q37" s="6">
        <f t="shared" si="14"/>
        <v>3900</v>
      </c>
      <c r="R37" s="9">
        <f t="shared" si="15"/>
        <v>0.46167215686616264</v>
      </c>
      <c r="S37" s="9">
        <f t="shared" si="16"/>
        <v>0.58983827085525642</v>
      </c>
      <c r="T37" s="10">
        <f>IF($Q37=0,"-",(VLOOKUP(L37,'APP 2885'!$B$10:$G$54,6)*$G37)/($Q37+$O37))</f>
        <v>2.8144176915701489</v>
      </c>
      <c r="U37" s="11">
        <f t="shared" si="17"/>
        <v>0.8758443137323253</v>
      </c>
      <c r="V37" s="12">
        <f t="shared" si="18"/>
        <v>1.004010427721419</v>
      </c>
      <c r="W37" s="10">
        <f>IF($Q37=0,"-",(VLOOKUP(L37,'APP 2885'!$B$10:$G$54,4)*$G37)/($K37+$O37))</f>
        <v>1.5031094017144744</v>
      </c>
    </row>
    <row r="38" spans="1:23" ht="20.100000000000001" customHeight="1" thickBot="1" x14ac:dyDescent="0.3">
      <c r="A38" s="13" t="s">
        <v>61</v>
      </c>
      <c r="B38" s="13" t="s">
        <v>29</v>
      </c>
      <c r="C38" s="13" t="s">
        <v>62</v>
      </c>
      <c r="D38" s="14">
        <v>82</v>
      </c>
      <c r="E38" s="14">
        <v>82</v>
      </c>
      <c r="F38" s="14">
        <v>13</v>
      </c>
      <c r="G38" s="43">
        <f t="shared" si="12"/>
        <v>1066</v>
      </c>
      <c r="H38" s="15">
        <v>200</v>
      </c>
      <c r="I38" s="16">
        <f t="shared" si="19"/>
        <v>10.288686309876404</v>
      </c>
      <c r="J38" s="16">
        <f t="shared" si="13"/>
        <v>16400</v>
      </c>
      <c r="K38" s="17">
        <f t="shared" si="10"/>
        <v>15556.327722590135</v>
      </c>
      <c r="L38" s="14">
        <v>25</v>
      </c>
      <c r="M38" s="14">
        <f t="shared" si="11"/>
        <v>17761.521629681374</v>
      </c>
      <c r="N38" s="14">
        <f t="shared" si="11"/>
        <v>17761.521629681374</v>
      </c>
      <c r="O38" s="18">
        <f t="shared" si="20"/>
        <v>2276.4252058094994</v>
      </c>
      <c r="P38" s="15">
        <v>100</v>
      </c>
      <c r="Q38" s="16">
        <f t="shared" si="14"/>
        <v>8200</v>
      </c>
      <c r="R38" s="19">
        <f t="shared" si="15"/>
        <v>0.46167215686616264</v>
      </c>
      <c r="S38" s="19">
        <f t="shared" si="16"/>
        <v>0.58983827085525653</v>
      </c>
      <c r="T38" s="20">
        <f>IF($Q38=0,"-",(VLOOKUP(L38,'APP 2885'!$B$10:$G$54,6)*$G38)/($Q38+$O38))</f>
        <v>2.8144176915701489</v>
      </c>
      <c r="U38" s="21">
        <f t="shared" si="17"/>
        <v>0.8758443137323253</v>
      </c>
      <c r="V38" s="22">
        <f t="shared" si="18"/>
        <v>1.004010427721419</v>
      </c>
      <c r="W38" s="20">
        <f>IF($Q38=0,"-",(VLOOKUP(L38,'APP 2885'!$B$10:$G$54,4)*$G38)/($K38+$O38))</f>
        <v>1.5031094017144744</v>
      </c>
    </row>
    <row r="39" spans="1:23" ht="20.100000000000001" customHeight="1" thickBot="1" x14ac:dyDescent="0.3">
      <c r="A39" s="3" t="s">
        <v>61</v>
      </c>
      <c r="B39" s="3" t="s">
        <v>32</v>
      </c>
      <c r="C39" s="3" t="s">
        <v>62</v>
      </c>
      <c r="D39" s="4">
        <v>197</v>
      </c>
      <c r="E39" s="4">
        <v>198</v>
      </c>
      <c r="F39" s="4">
        <v>13</v>
      </c>
      <c r="G39" s="42">
        <f t="shared" si="12"/>
        <v>2574</v>
      </c>
      <c r="H39" s="5">
        <v>200</v>
      </c>
      <c r="I39" s="6">
        <f t="shared" si="19"/>
        <v>10.288686309876404</v>
      </c>
      <c r="J39" s="6">
        <f t="shared" si="13"/>
        <v>39600</v>
      </c>
      <c r="K39" s="7">
        <f t="shared" si="10"/>
        <v>37562.840110644473</v>
      </c>
      <c r="L39" s="4">
        <v>25</v>
      </c>
      <c r="M39" s="4">
        <f t="shared" si="11"/>
        <v>42887.576618011117</v>
      </c>
      <c r="N39" s="4">
        <f t="shared" si="11"/>
        <v>42887.576618011117</v>
      </c>
      <c r="O39" s="8">
        <f t="shared" si="20"/>
        <v>5496.7340335400104</v>
      </c>
      <c r="P39" s="5">
        <v>100</v>
      </c>
      <c r="Q39" s="6">
        <f t="shared" si="14"/>
        <v>19800</v>
      </c>
      <c r="R39" s="9">
        <f t="shared" si="15"/>
        <v>0.4616721568661627</v>
      </c>
      <c r="S39" s="9">
        <f t="shared" si="16"/>
        <v>0.58983827085525664</v>
      </c>
      <c r="T39" s="10">
        <f>IF($Q39=0,"-",(VLOOKUP(L39,'APP 2885'!$B$10:$G$54,6)*$G39)/($Q39+$O39))</f>
        <v>2.8144176915701489</v>
      </c>
      <c r="U39" s="11">
        <f t="shared" si="17"/>
        <v>0.87584431373232541</v>
      </c>
      <c r="V39" s="12">
        <f t="shared" si="18"/>
        <v>1.0040104277214192</v>
      </c>
      <c r="W39" s="10">
        <f>IF($Q39=0,"-",(VLOOKUP(L39,'APP 2885'!$B$10:$G$54,4)*$G39)/($K39+$O39))</f>
        <v>1.5031094017144744</v>
      </c>
    </row>
    <row r="40" spans="1:23" ht="20.100000000000001" customHeight="1" thickBot="1" x14ac:dyDescent="0.3">
      <c r="A40" s="13" t="s">
        <v>61</v>
      </c>
      <c r="B40" s="13" t="s">
        <v>32</v>
      </c>
      <c r="C40" s="13" t="s">
        <v>62</v>
      </c>
      <c r="D40" s="14">
        <v>16</v>
      </c>
      <c r="E40" s="14">
        <v>16</v>
      </c>
      <c r="F40" s="14">
        <v>13</v>
      </c>
      <c r="G40" s="43">
        <f t="shared" si="12"/>
        <v>208</v>
      </c>
      <c r="H40" s="15">
        <v>200</v>
      </c>
      <c r="I40" s="16">
        <f t="shared" si="19"/>
        <v>10.288686309876404</v>
      </c>
      <c r="J40" s="16">
        <f t="shared" si="13"/>
        <v>3200</v>
      </c>
      <c r="K40" s="17">
        <f t="shared" si="10"/>
        <v>3035.3810190419777</v>
      </c>
      <c r="L40" s="14">
        <v>25</v>
      </c>
      <c r="M40" s="14">
        <f t="shared" si="11"/>
        <v>3465.6627570109995</v>
      </c>
      <c r="N40" s="14">
        <f t="shared" si="11"/>
        <v>3465.6627570109995</v>
      </c>
      <c r="O40" s="18">
        <f t="shared" si="20"/>
        <v>444.1805279628291</v>
      </c>
      <c r="P40" s="15">
        <v>100</v>
      </c>
      <c r="Q40" s="16">
        <f t="shared" si="14"/>
        <v>1600</v>
      </c>
      <c r="R40" s="19">
        <f t="shared" si="15"/>
        <v>0.4616721568661627</v>
      </c>
      <c r="S40" s="19">
        <f t="shared" si="16"/>
        <v>0.58983827085525653</v>
      </c>
      <c r="T40" s="20">
        <f>IF($Q40=0,"-",(VLOOKUP(L40,'APP 2885'!$B$10:$G$54,6)*$G40)/($Q40+$O40))</f>
        <v>2.8144176915701489</v>
      </c>
      <c r="U40" s="21">
        <f t="shared" si="17"/>
        <v>0.87584431373232541</v>
      </c>
      <c r="V40" s="22">
        <f t="shared" si="18"/>
        <v>1.0040104277214192</v>
      </c>
      <c r="W40" s="20">
        <f>IF($Q40=0,"-",(VLOOKUP(L40,'APP 2885'!$B$10:$G$54,4)*$G40)/($K40+$O40))</f>
        <v>1.5031094017144742</v>
      </c>
    </row>
    <row r="41" spans="1:23" ht="20.100000000000001" customHeight="1" thickBot="1" x14ac:dyDescent="0.3">
      <c r="A41" s="3" t="s">
        <v>63</v>
      </c>
      <c r="B41" s="3" t="s">
        <v>27</v>
      </c>
      <c r="C41" s="3" t="s">
        <v>44</v>
      </c>
      <c r="D41" s="4">
        <v>969</v>
      </c>
      <c r="E41" s="4">
        <v>971</v>
      </c>
      <c r="F41" s="4">
        <v>89</v>
      </c>
      <c r="G41" s="42">
        <f t="shared" si="12"/>
        <v>86419</v>
      </c>
      <c r="H41" s="5">
        <v>1024</v>
      </c>
      <c r="I41" s="6">
        <f t="shared" si="19"/>
        <v>56.224452267639741</v>
      </c>
      <c r="J41" s="6">
        <f t="shared" si="13"/>
        <v>994304</v>
      </c>
      <c r="K41" s="7">
        <f t="shared" si="10"/>
        <v>939710.05684812181</v>
      </c>
      <c r="L41" s="4">
        <v>18</v>
      </c>
      <c r="M41" s="4">
        <f t="shared" si="11"/>
        <v>1149346.1716184882</v>
      </c>
      <c r="N41" s="4">
        <f t="shared" si="11"/>
        <v>1149346.1716184882</v>
      </c>
      <c r="O41" s="8">
        <f t="shared" si="20"/>
        <v>184546.33195201791</v>
      </c>
      <c r="P41" s="5">
        <v>400</v>
      </c>
      <c r="Q41" s="6">
        <f t="shared" si="14"/>
        <v>388400</v>
      </c>
      <c r="R41" s="9">
        <f t="shared" si="15"/>
        <v>0.33793126004244856</v>
      </c>
      <c r="S41" s="9">
        <f t="shared" si="16"/>
        <v>0.4984976207344089</v>
      </c>
      <c r="T41" s="10">
        <f>IF($Q41=0,"-",(VLOOKUP(L41,'APP 2885'!$B$10:$G$54,6)*$G41)/($Q41+$O41))</f>
        <v>2.8204973473490873</v>
      </c>
      <c r="U41" s="11">
        <f t="shared" si="17"/>
        <v>0.81760402570866819</v>
      </c>
      <c r="V41" s="12">
        <f t="shared" si="18"/>
        <v>0.97817038640062859</v>
      </c>
      <c r="W41" s="10">
        <f>IF($Q41=0,"-",(VLOOKUP(L41,'APP 2885'!$B$10:$G$54,4)*$G41)/($K41+$O41))</f>
        <v>1.3067171457771072</v>
      </c>
    </row>
    <row r="42" spans="1:23" ht="20.100000000000001" customHeight="1" thickBot="1" x14ac:dyDescent="0.3">
      <c r="A42" s="13" t="s">
        <v>63</v>
      </c>
      <c r="B42" s="13" t="s">
        <v>29</v>
      </c>
      <c r="C42" s="13" t="s">
        <v>44</v>
      </c>
      <c r="D42" s="14">
        <v>282</v>
      </c>
      <c r="E42" s="14">
        <v>284</v>
      </c>
      <c r="F42" s="14">
        <v>90</v>
      </c>
      <c r="G42" s="43">
        <f t="shared" si="12"/>
        <v>25560</v>
      </c>
      <c r="H42" s="15">
        <v>1024</v>
      </c>
      <c r="I42" s="16">
        <f t="shared" si="19"/>
        <v>56.856187686377268</v>
      </c>
      <c r="J42" s="16">
        <f t="shared" si="13"/>
        <v>290816</v>
      </c>
      <c r="K42" s="17">
        <f t="shared" si="10"/>
        <v>274668.84269706887</v>
      </c>
      <c r="L42" s="14">
        <v>18</v>
      </c>
      <c r="M42" s="14">
        <f t="shared" si="11"/>
        <v>339940.15374591883</v>
      </c>
      <c r="N42" s="14">
        <f t="shared" si="11"/>
        <v>339940.15374591883</v>
      </c>
      <c r="O42" s="18">
        <f t="shared" si="20"/>
        <v>54582.953340047658</v>
      </c>
      <c r="P42" s="15">
        <v>400</v>
      </c>
      <c r="Q42" s="16">
        <f t="shared" si="14"/>
        <v>113600</v>
      </c>
      <c r="R42" s="19">
        <f t="shared" si="15"/>
        <v>0.33417646826419911</v>
      </c>
      <c r="S42" s="19">
        <f t="shared" si="16"/>
        <v>0.4947428289561594</v>
      </c>
      <c r="T42" s="20">
        <f>IF($Q42=0,"-",(VLOOKUP(L42,'APP 2885'!$B$10:$G$54,6)*$G42)/($Q42+$O42))</f>
        <v>2.8419031760555789</v>
      </c>
      <c r="U42" s="21">
        <f t="shared" si="17"/>
        <v>0.80799175875634976</v>
      </c>
      <c r="V42" s="22">
        <f t="shared" si="18"/>
        <v>0.96855811944831016</v>
      </c>
      <c r="W42" s="20">
        <f>IF($Q42=0,"-",(VLOOKUP(L42,'APP 2885'!$B$10:$G$54,4)*$G42)/($K42+$O42))</f>
        <v>1.3196854063121959</v>
      </c>
    </row>
    <row r="43" spans="1:23" ht="20.100000000000001" customHeight="1" thickBot="1" x14ac:dyDescent="0.3">
      <c r="A43" s="3" t="s">
        <v>63</v>
      </c>
      <c r="B43" s="3" t="s">
        <v>32</v>
      </c>
      <c r="C43" s="3" t="s">
        <v>44</v>
      </c>
      <c r="D43" s="4">
        <v>1281</v>
      </c>
      <c r="E43" s="4">
        <v>1282</v>
      </c>
      <c r="F43" s="4">
        <v>78</v>
      </c>
      <c r="G43" s="42">
        <f t="shared" si="12"/>
        <v>99996</v>
      </c>
      <c r="H43" s="5">
        <v>1024</v>
      </c>
      <c r="I43" s="6">
        <f t="shared" si="19"/>
        <v>49.27536266152697</v>
      </c>
      <c r="J43" s="6">
        <f t="shared" si="13"/>
        <v>1312768</v>
      </c>
      <c r="K43" s="7">
        <f t="shared" si="10"/>
        <v>1249596.9850679224</v>
      </c>
      <c r="L43" s="4">
        <v>18</v>
      </c>
      <c r="M43" s="4">
        <f t="shared" si="11"/>
        <v>1329916.1038332118</v>
      </c>
      <c r="N43" s="4">
        <f t="shared" si="11"/>
        <v>1329916.1038332118</v>
      </c>
      <c r="O43" s="8">
        <f t="shared" si="20"/>
        <v>213539.7888181301</v>
      </c>
      <c r="P43" s="5">
        <v>400</v>
      </c>
      <c r="Q43" s="6">
        <f t="shared" si="14"/>
        <v>512800</v>
      </c>
      <c r="R43" s="9">
        <f t="shared" si="15"/>
        <v>0.38558823261253744</v>
      </c>
      <c r="S43" s="9">
        <f t="shared" si="16"/>
        <v>0.54615459330449778</v>
      </c>
      <c r="T43" s="10">
        <f>IF($Q43=0,"-",(VLOOKUP(L43,'APP 2885'!$B$10:$G$54,6)*$G43)/($Q43+$O43))</f>
        <v>2.5743832134308127</v>
      </c>
      <c r="U43" s="11">
        <f t="shared" si="17"/>
        <v>0.93960587548809582</v>
      </c>
      <c r="V43" s="12">
        <f t="shared" si="18"/>
        <v>1.1001722361800561</v>
      </c>
      <c r="W43" s="10">
        <f>IF($Q43=0,"-",(VLOOKUP(L43,'APP 2885'!$B$10:$G$54,4)*$G43)/($K43+$O43))</f>
        <v>1.1618108268566854</v>
      </c>
    </row>
    <row r="44" spans="1:23" ht="20.100000000000001" customHeight="1" thickBot="1" x14ac:dyDescent="0.3">
      <c r="A44" s="13" t="s">
        <v>63</v>
      </c>
      <c r="B44" s="13" t="s">
        <v>32</v>
      </c>
      <c r="C44" s="13" t="s">
        <v>44</v>
      </c>
      <c r="D44" s="14">
        <v>25</v>
      </c>
      <c r="E44" s="14">
        <v>25</v>
      </c>
      <c r="F44" s="14">
        <v>111</v>
      </c>
      <c r="G44" s="43">
        <f t="shared" si="12"/>
        <v>2775</v>
      </c>
      <c r="H44" s="15">
        <v>1024</v>
      </c>
      <c r="I44" s="16">
        <f t="shared" si="19"/>
        <v>70.122631479865291</v>
      </c>
      <c r="J44" s="16">
        <f t="shared" si="13"/>
        <v>25600</v>
      </c>
      <c r="K44" s="17">
        <f t="shared" si="10"/>
        <v>23846.934213003369</v>
      </c>
      <c r="L44" s="14">
        <v>18</v>
      </c>
      <c r="M44" s="14">
        <f t="shared" si="11"/>
        <v>36906.648147297521</v>
      </c>
      <c r="N44" s="14">
        <f t="shared" si="11"/>
        <v>36906.648147297521</v>
      </c>
      <c r="O44" s="18">
        <f t="shared" si="20"/>
        <v>5925.9661783502434</v>
      </c>
      <c r="P44" s="15">
        <v>400</v>
      </c>
      <c r="Q44" s="16">
        <f t="shared" si="14"/>
        <v>10000</v>
      </c>
      <c r="R44" s="19">
        <f t="shared" si="15"/>
        <v>0.27095389318718849</v>
      </c>
      <c r="S44" s="19">
        <f t="shared" si="16"/>
        <v>0.43152025387914883</v>
      </c>
      <c r="T44" s="20">
        <f>IF($Q44=0,"-",(VLOOKUP(L44,'APP 2885'!$B$10:$G$54,6)*$G44)/($Q44+$O44))</f>
        <v>3.2582739843655122</v>
      </c>
      <c r="U44" s="21">
        <f t="shared" si="17"/>
        <v>0.64614196655920253</v>
      </c>
      <c r="V44" s="22">
        <f t="shared" si="18"/>
        <v>0.80670832725116293</v>
      </c>
      <c r="W44" s="20">
        <f>IF($Q44=0,"-",(VLOOKUP(L44,'APP 2885'!$B$10:$G$54,4)*$G44)/($K44+$O44))</f>
        <v>1.5844537266108616</v>
      </c>
    </row>
    <row r="45" spans="1:23" ht="20.100000000000001" customHeight="1" thickBot="1" x14ac:dyDescent="0.3">
      <c r="A45" s="3" t="s">
        <v>64</v>
      </c>
      <c r="B45" s="3" t="s">
        <v>27</v>
      </c>
      <c r="C45" s="3" t="s">
        <v>65</v>
      </c>
      <c r="D45" s="4">
        <v>114</v>
      </c>
      <c r="E45" s="4">
        <v>121</v>
      </c>
      <c r="F45" s="4">
        <v>56</v>
      </c>
      <c r="G45" s="42">
        <f t="shared" si="12"/>
        <v>6776</v>
      </c>
      <c r="H45" s="5">
        <v>425</v>
      </c>
      <c r="I45" s="6">
        <f t="shared" si="19"/>
        <v>38.149365901048498</v>
      </c>
      <c r="J45" s="6">
        <f t="shared" si="13"/>
        <v>51425</v>
      </c>
      <c r="K45" s="7">
        <f t="shared" si="10"/>
        <v>46808.926725973128</v>
      </c>
      <c r="L45" s="4">
        <v>20</v>
      </c>
      <c r="M45" s="4">
        <f t="shared" ref="M45:N65" si="21">PV($B$80,$L45,-$G45)</f>
        <v>97180.489979513019</v>
      </c>
      <c r="N45" s="4">
        <f t="shared" si="21"/>
        <v>97180.489979513019</v>
      </c>
      <c r="O45" s="8">
        <f t="shared" si="20"/>
        <v>14470.034891712163</v>
      </c>
      <c r="P45" s="5">
        <v>300</v>
      </c>
      <c r="Q45" s="6">
        <f t="shared" si="14"/>
        <v>36300</v>
      </c>
      <c r="R45" s="9">
        <f t="shared" si="15"/>
        <v>0.37353176555965645</v>
      </c>
      <c r="S45" s="9">
        <f t="shared" si="16"/>
        <v>0.52243032425968605</v>
      </c>
      <c r="T45" s="10">
        <f>IF($Q45=0,"-",(VLOOKUP(L45,'APP 2885'!$B$10:$G$54,6)*$G45)/($Q45+$O45))</f>
        <v>2.821446727729592</v>
      </c>
      <c r="U45" s="11">
        <f t="shared" si="17"/>
        <v>0.48167000120951325</v>
      </c>
      <c r="V45" s="12">
        <f t="shared" si="18"/>
        <v>0.63056855990954286</v>
      </c>
      <c r="W45" s="10">
        <f>IF($Q45=0,"-",(VLOOKUP(L45,'APP 2885'!$B$10:$G$54,4)*$G45)/($K45+$O45))</f>
        <v>2.1250797549504044</v>
      </c>
    </row>
    <row r="46" spans="1:23" ht="20.100000000000001" customHeight="1" thickBot="1" x14ac:dyDescent="0.3">
      <c r="A46" s="13" t="s">
        <v>64</v>
      </c>
      <c r="B46" s="13" t="s">
        <v>29</v>
      </c>
      <c r="C46" s="13" t="s">
        <v>65</v>
      </c>
      <c r="D46" s="14">
        <v>22</v>
      </c>
      <c r="E46" s="14">
        <v>22</v>
      </c>
      <c r="F46" s="14">
        <v>56</v>
      </c>
      <c r="G46" s="43">
        <f t="shared" si="12"/>
        <v>1232</v>
      </c>
      <c r="H46" s="15">
        <v>425</v>
      </c>
      <c r="I46" s="16">
        <f t="shared" si="19"/>
        <v>38.149365901048498</v>
      </c>
      <c r="J46" s="16">
        <f t="shared" si="13"/>
        <v>9350</v>
      </c>
      <c r="K46" s="17">
        <f t="shared" si="10"/>
        <v>8510.7139501769325</v>
      </c>
      <c r="L46" s="14">
        <v>20</v>
      </c>
      <c r="M46" s="14">
        <f t="shared" si="21"/>
        <v>17669.179996275096</v>
      </c>
      <c r="N46" s="14">
        <f t="shared" si="21"/>
        <v>17669.179996275096</v>
      </c>
      <c r="O46" s="18">
        <f t="shared" si="20"/>
        <v>2630.9154348567572</v>
      </c>
      <c r="P46" s="15">
        <v>300</v>
      </c>
      <c r="Q46" s="16">
        <f t="shared" si="14"/>
        <v>6600</v>
      </c>
      <c r="R46" s="19">
        <f t="shared" si="15"/>
        <v>0.37353176555965645</v>
      </c>
      <c r="S46" s="19">
        <f t="shared" si="16"/>
        <v>0.52243032425968605</v>
      </c>
      <c r="T46" s="20">
        <f>IF($Q46=0,"-",(VLOOKUP(L46,'APP 2885'!$B$10:$G$54,6)*$G46)/($Q46+$O46))</f>
        <v>2.8214467277295916</v>
      </c>
      <c r="U46" s="21">
        <f t="shared" si="17"/>
        <v>0.48167000120951325</v>
      </c>
      <c r="V46" s="22">
        <f t="shared" si="18"/>
        <v>0.63056855990954286</v>
      </c>
      <c r="W46" s="20">
        <f>IF($Q46=0,"-",(VLOOKUP(L46,'APP 2885'!$B$10:$G$54,4)*$G46)/($K46+$O46))</f>
        <v>2.1250797549504044</v>
      </c>
    </row>
    <row r="47" spans="1:23" ht="20.100000000000001" customHeight="1" thickBot="1" x14ac:dyDescent="0.3">
      <c r="A47" s="3" t="s">
        <v>64</v>
      </c>
      <c r="B47" s="3" t="s">
        <v>32</v>
      </c>
      <c r="C47" s="3" t="s">
        <v>65</v>
      </c>
      <c r="D47" s="4">
        <v>29</v>
      </c>
      <c r="E47" s="4">
        <v>29</v>
      </c>
      <c r="F47" s="4">
        <v>57</v>
      </c>
      <c r="G47" s="42">
        <f t="shared" si="12"/>
        <v>1653</v>
      </c>
      <c r="H47" s="5">
        <v>425</v>
      </c>
      <c r="I47" s="6">
        <f t="shared" si="19"/>
        <v>38.830604577852938</v>
      </c>
      <c r="J47" s="6">
        <f t="shared" si="13"/>
        <v>12325</v>
      </c>
      <c r="K47" s="7">
        <f t="shared" si="10"/>
        <v>11198.912467242264</v>
      </c>
      <c r="L47" s="4">
        <v>20</v>
      </c>
      <c r="M47" s="4">
        <f t="shared" si="21"/>
        <v>23707.105952794424</v>
      </c>
      <c r="N47" s="4">
        <f t="shared" si="21"/>
        <v>23707.105952794424</v>
      </c>
      <c r="O47" s="8">
        <f t="shared" si="20"/>
        <v>3529.953907319983</v>
      </c>
      <c r="P47" s="5">
        <v>300</v>
      </c>
      <c r="Q47" s="6">
        <f t="shared" si="14"/>
        <v>8700</v>
      </c>
      <c r="R47" s="9">
        <f t="shared" si="15"/>
        <v>0.3669785766901888</v>
      </c>
      <c r="S47" s="9">
        <f t="shared" si="16"/>
        <v>0.51587713539021851</v>
      </c>
      <c r="T47" s="10">
        <f>IF($Q47=0,"-",(VLOOKUP(L47,'APP 2885'!$B$10:$G$54,6)*$G47)/($Q47+$O47))</f>
        <v>2.8572875743644555</v>
      </c>
      <c r="U47" s="11">
        <f t="shared" si="17"/>
        <v>0.47238631697776745</v>
      </c>
      <c r="V47" s="12">
        <f t="shared" si="18"/>
        <v>0.62128487567779711</v>
      </c>
      <c r="W47" s="10">
        <f>IF($Q47=0,"-",(VLOOKUP(L47,'APP 2885'!$B$10:$G$54,4)*$G47)/($K47+$O47))</f>
        <v>2.156834220871874</v>
      </c>
    </row>
    <row r="48" spans="1:23" ht="20.100000000000001" customHeight="1" thickBot="1" x14ac:dyDescent="0.3">
      <c r="A48" s="13" t="s">
        <v>66</v>
      </c>
      <c r="B48" s="13" t="s">
        <v>27</v>
      </c>
      <c r="C48" s="13" t="s">
        <v>67</v>
      </c>
      <c r="D48" s="14">
        <v>590</v>
      </c>
      <c r="E48" s="14">
        <v>605</v>
      </c>
      <c r="F48" s="14">
        <v>18</v>
      </c>
      <c r="G48" s="43">
        <f t="shared" si="12"/>
        <v>10890</v>
      </c>
      <c r="H48" s="15">
        <v>16</v>
      </c>
      <c r="I48" s="16">
        <f t="shared" si="19"/>
        <v>7.1466731592807999</v>
      </c>
      <c r="J48" s="16">
        <f t="shared" si="13"/>
        <v>9680</v>
      </c>
      <c r="K48" s="17">
        <f t="shared" si="10"/>
        <v>5356.262738635116</v>
      </c>
      <c r="L48" s="14">
        <v>10</v>
      </c>
      <c r="M48" s="14">
        <f t="shared" si="21"/>
        <v>91026.047607681772</v>
      </c>
      <c r="N48" s="14">
        <f t="shared" si="21"/>
        <v>91026.047607681772</v>
      </c>
      <c r="O48" s="18">
        <f t="shared" si="20"/>
        <v>23255.41321882312</v>
      </c>
      <c r="P48" s="15">
        <v>25</v>
      </c>
      <c r="Q48" s="16">
        <f t="shared" si="14"/>
        <v>15125</v>
      </c>
      <c r="R48" s="19">
        <f t="shared" si="15"/>
        <v>0.1661612296426192</v>
      </c>
      <c r="S48" s="19">
        <f t="shared" si="16"/>
        <v>0.42164209286819743</v>
      </c>
      <c r="T48" s="20">
        <f>IF($Q48=0,"-",(VLOOKUP(L48,'APP 2885'!$B$10:$G$54,6)*$G48)/($Q48+$O48))</f>
        <v>2.7717960842204743</v>
      </c>
      <c r="U48" s="21">
        <f t="shared" si="17"/>
        <v>5.8843186971276294E-2</v>
      </c>
      <c r="V48" s="22">
        <f t="shared" si="18"/>
        <v>0.31432405019685455</v>
      </c>
      <c r="W48" s="20">
        <f>IF($Q48=0,"-",(VLOOKUP(L48,'APP 2885'!$B$10:$G$54,4)*$G48)/($K48+$O48))</f>
        <v>3.3801419592373456</v>
      </c>
    </row>
    <row r="49" spans="1:23" ht="20.100000000000001" customHeight="1" thickBot="1" x14ac:dyDescent="0.3">
      <c r="A49" s="3" t="s">
        <v>66</v>
      </c>
      <c r="B49" s="3" t="s">
        <v>29</v>
      </c>
      <c r="C49" s="3" t="s">
        <v>67</v>
      </c>
      <c r="D49" s="4">
        <v>156</v>
      </c>
      <c r="E49" s="4">
        <v>157</v>
      </c>
      <c r="F49" s="4">
        <v>17</v>
      </c>
      <c r="G49" s="42">
        <f t="shared" si="12"/>
        <v>2669</v>
      </c>
      <c r="H49" s="5">
        <v>16</v>
      </c>
      <c r="I49" s="6">
        <f t="shared" si="19"/>
        <v>6.7496357615429776</v>
      </c>
      <c r="J49" s="6">
        <f t="shared" si="13"/>
        <v>2512</v>
      </c>
      <c r="K49" s="7">
        <f t="shared" si="10"/>
        <v>1452.3071854377524</v>
      </c>
      <c r="L49" s="4">
        <v>10</v>
      </c>
      <c r="M49" s="4">
        <f t="shared" si="21"/>
        <v>22309.322411836787</v>
      </c>
      <c r="N49" s="4">
        <f t="shared" si="21"/>
        <v>22309.322411836787</v>
      </c>
      <c r="O49" s="8">
        <f t="shared" si="20"/>
        <v>5699.6049477538018</v>
      </c>
      <c r="P49" s="5">
        <v>25</v>
      </c>
      <c r="Q49" s="6">
        <f t="shared" si="14"/>
        <v>3925</v>
      </c>
      <c r="R49" s="9">
        <f t="shared" si="15"/>
        <v>0.17593541962159684</v>
      </c>
      <c r="S49" s="9">
        <f t="shared" si="16"/>
        <v>0.43141628284717509</v>
      </c>
      <c r="T49" s="10">
        <f>IF($Q49=0,"-",(VLOOKUP(L49,'APP 2885'!$B$10:$G$54,6)*$G49)/($Q49+$O49))</f>
        <v>2.70899812645365</v>
      </c>
      <c r="U49" s="11">
        <f t="shared" si="17"/>
        <v>6.5098668557821968E-2</v>
      </c>
      <c r="V49" s="12">
        <f t="shared" si="18"/>
        <v>0.32057953178340021</v>
      </c>
      <c r="W49" s="10">
        <f>IF($Q49=0,"-",(VLOOKUP(L49,'APP 2885'!$B$10:$G$54,4)*$G49)/($K49+$O49))</f>
        <v>3.3141851101887116</v>
      </c>
    </row>
    <row r="50" spans="1:23" ht="20.100000000000001" customHeight="1" thickBot="1" x14ac:dyDescent="0.3">
      <c r="A50" s="13" t="s">
        <v>66</v>
      </c>
      <c r="B50" s="13" t="s">
        <v>32</v>
      </c>
      <c r="C50" s="13" t="s">
        <v>67</v>
      </c>
      <c r="D50" s="14">
        <v>988</v>
      </c>
      <c r="E50" s="14">
        <v>1001</v>
      </c>
      <c r="F50" s="14">
        <v>20</v>
      </c>
      <c r="G50" s="43">
        <f t="shared" si="12"/>
        <v>20020</v>
      </c>
      <c r="H50" s="15">
        <v>16</v>
      </c>
      <c r="I50" s="16">
        <f t="shared" si="19"/>
        <v>7.9407479547564437</v>
      </c>
      <c r="J50" s="16">
        <f t="shared" si="13"/>
        <v>16016</v>
      </c>
      <c r="K50" s="17">
        <f t="shared" si="10"/>
        <v>8067.3112972888002</v>
      </c>
      <c r="L50" s="14">
        <v>10</v>
      </c>
      <c r="M50" s="14">
        <f t="shared" si="21"/>
        <v>167340.81479392003</v>
      </c>
      <c r="N50" s="14">
        <f t="shared" si="21"/>
        <v>167340.81479392003</v>
      </c>
      <c r="O50" s="18">
        <f t="shared" si="20"/>
        <v>42752.375816422296</v>
      </c>
      <c r="P50" s="15">
        <v>25</v>
      </c>
      <c r="Q50" s="16">
        <f t="shared" si="14"/>
        <v>25025</v>
      </c>
      <c r="R50" s="19">
        <f t="shared" si="15"/>
        <v>0.1495451066783573</v>
      </c>
      <c r="S50" s="19">
        <f t="shared" si="16"/>
        <v>0.40502596990393547</v>
      </c>
      <c r="T50" s="20">
        <f>IF($Q50=0,"-",(VLOOKUP(L50,'APP 2885'!$B$10:$G$54,6)*$G50)/($Q50+$O50))</f>
        <v>2.8855085569742358</v>
      </c>
      <c r="U50" s="21">
        <f t="shared" si="17"/>
        <v>4.8208868274148671E-2</v>
      </c>
      <c r="V50" s="22">
        <f t="shared" si="18"/>
        <v>0.30368973149972683</v>
      </c>
      <c r="W50" s="20">
        <f>IF($Q50=0,"-",(VLOOKUP(L50,'APP 2885'!$B$10:$G$54,4)*$G50)/($K50+$O50))</f>
        <v>3.4985045612869836</v>
      </c>
    </row>
    <row r="51" spans="1:23" ht="20.100000000000001" customHeight="1" thickBot="1" x14ac:dyDescent="0.3">
      <c r="A51" s="3" t="s">
        <v>66</v>
      </c>
      <c r="B51" s="3" t="s">
        <v>32</v>
      </c>
      <c r="C51" s="3" t="s">
        <v>67</v>
      </c>
      <c r="D51" s="4">
        <v>25</v>
      </c>
      <c r="E51" s="4">
        <v>25</v>
      </c>
      <c r="F51" s="4">
        <v>20</v>
      </c>
      <c r="G51" s="42">
        <f t="shared" si="12"/>
        <v>500</v>
      </c>
      <c r="H51" s="5">
        <v>16</v>
      </c>
      <c r="I51" s="6">
        <f t="shared" si="19"/>
        <v>7.9407479547564437</v>
      </c>
      <c r="J51" s="6">
        <f t="shared" si="13"/>
        <v>400</v>
      </c>
      <c r="K51" s="7">
        <f t="shared" si="10"/>
        <v>201.48130113108891</v>
      </c>
      <c r="L51" s="4">
        <v>10</v>
      </c>
      <c r="M51" s="4">
        <f t="shared" si="21"/>
        <v>4179.3410288191817</v>
      </c>
      <c r="N51" s="4">
        <f t="shared" si="21"/>
        <v>4179.3410288191817</v>
      </c>
      <c r="O51" s="8">
        <f t="shared" si="20"/>
        <v>1067.7416537568008</v>
      </c>
      <c r="P51" s="5">
        <v>10</v>
      </c>
      <c r="Q51" s="6">
        <f t="shared" si="14"/>
        <v>250</v>
      </c>
      <c r="R51" s="9">
        <f t="shared" si="15"/>
        <v>5.9818042671342914E-2</v>
      </c>
      <c r="S51" s="9">
        <f t="shared" si="16"/>
        <v>0.31529890589692117</v>
      </c>
      <c r="T51" s="10">
        <f>IF($Q51=0,"-",(VLOOKUP(L51,'APP 2885'!$B$10:$G$54,6)*$G51)/($Q51+$O51))</f>
        <v>3.7066601884646984</v>
      </c>
      <c r="U51" s="11">
        <f t="shared" si="17"/>
        <v>4.8208868274148671E-2</v>
      </c>
      <c r="V51" s="12">
        <f t="shared" si="18"/>
        <v>0.30368973149972689</v>
      </c>
      <c r="W51" s="10">
        <f>IF($Q51=0,"-",(VLOOKUP(L51,'APP 2885'!$B$10:$G$54,4)*$G51)/($K51+$O51))</f>
        <v>3.4985045612869827</v>
      </c>
    </row>
    <row r="52" spans="1:23" ht="20.100000000000001" customHeight="1" thickBot="1" x14ac:dyDescent="0.3">
      <c r="A52" s="13" t="s">
        <v>68</v>
      </c>
      <c r="B52" s="13" t="s">
        <v>27</v>
      </c>
      <c r="C52" s="13" t="s">
        <v>69</v>
      </c>
      <c r="D52" s="14">
        <v>72</v>
      </c>
      <c r="E52" s="14">
        <v>59810</v>
      </c>
      <c r="F52" s="14">
        <v>7.0999999999999994E-2</v>
      </c>
      <c r="G52" s="43">
        <f t="shared" si="12"/>
        <v>4246.5099999999993</v>
      </c>
      <c r="H52" s="15">
        <v>1.18</v>
      </c>
      <c r="I52" s="16">
        <f t="shared" si="19"/>
        <v>7.7159436499557643E-2</v>
      </c>
      <c r="J52" s="16">
        <f t="shared" si="13"/>
        <v>70575.8</v>
      </c>
      <c r="K52" s="17">
        <f t="shared" si="10"/>
        <v>65960.894102961465</v>
      </c>
      <c r="L52" s="14">
        <v>45</v>
      </c>
      <c r="M52" s="14">
        <f t="shared" si="21"/>
        <v>97155.913621864063</v>
      </c>
      <c r="N52" s="14">
        <f t="shared" si="21"/>
        <v>97155.913621864063</v>
      </c>
      <c r="O52" s="18">
        <f t="shared" si="20"/>
        <v>9068.351220189581</v>
      </c>
      <c r="P52" s="15">
        <v>0.75</v>
      </c>
      <c r="Q52" s="16">
        <f t="shared" si="14"/>
        <v>44857.5</v>
      </c>
      <c r="R52" s="19">
        <f t="shared" si="15"/>
        <v>0.46170632674597406</v>
      </c>
      <c r="S52" s="19">
        <f t="shared" si="16"/>
        <v>0.55504445596664176</v>
      </c>
      <c r="T52" s="20">
        <f>IF($Q52=0,"-",(VLOOKUP(L52,'APP 2885'!$B$10:$G$54,6)*$G52)/($Q52+$O52))</f>
        <v>4.824575897047529</v>
      </c>
      <c r="U52" s="21">
        <f t="shared" si="17"/>
        <v>0.67891795408033262</v>
      </c>
      <c r="V52" s="22">
        <f t="shared" si="18"/>
        <v>0.77225608330100026</v>
      </c>
      <c r="W52" s="20">
        <f>IF($Q52=0,"-",(VLOOKUP(L52,'APP 2885'!$B$10:$G$54,4)*$G52)/($K52+$O52))</f>
        <v>3.1523388089797879</v>
      </c>
    </row>
    <row r="53" spans="1:23" ht="20.100000000000001" customHeight="1" thickBot="1" x14ac:dyDescent="0.3">
      <c r="A53" s="3" t="s">
        <v>68</v>
      </c>
      <c r="B53" s="3" t="s">
        <v>29</v>
      </c>
      <c r="C53" s="3" t="s">
        <v>69</v>
      </c>
      <c r="D53" s="4">
        <v>9</v>
      </c>
      <c r="E53" s="4">
        <v>7927</v>
      </c>
      <c r="F53" s="4">
        <v>6.5000000000000002E-2</v>
      </c>
      <c r="G53" s="42">
        <f t="shared" si="12"/>
        <v>515.255</v>
      </c>
      <c r="H53" s="5">
        <v>1.18</v>
      </c>
      <c r="I53" s="6">
        <f t="shared" si="19"/>
        <v>7.0638920739031663E-2</v>
      </c>
      <c r="J53" s="6">
        <f t="shared" si="13"/>
        <v>9353.8599999999988</v>
      </c>
      <c r="K53" s="7">
        <f t="shared" si="10"/>
        <v>8793.9052753016949</v>
      </c>
      <c r="L53" s="4">
        <v>45</v>
      </c>
      <c r="M53" s="4">
        <f t="shared" si="21"/>
        <v>11788.520519964293</v>
      </c>
      <c r="N53" s="4">
        <f t="shared" si="21"/>
        <v>11788.520519964293</v>
      </c>
      <c r="O53" s="8">
        <f t="shared" si="20"/>
        <v>1100.3184516129209</v>
      </c>
      <c r="P53" s="5">
        <v>0.75</v>
      </c>
      <c r="Q53" s="6">
        <f t="shared" si="14"/>
        <v>5945.25</v>
      </c>
      <c r="R53" s="9">
        <f t="shared" si="15"/>
        <v>0.50432537229175622</v>
      </c>
      <c r="S53" s="9">
        <f t="shared" si="16"/>
        <v>0.59766350151242398</v>
      </c>
      <c r="T53" s="10">
        <f>IF($Q53=0,"-",(VLOOKUP(L53,'APP 2885'!$B$10:$G$54,6)*$G53)/($Q53+$O53))</f>
        <v>4.4805381243292342</v>
      </c>
      <c r="U53" s="11">
        <f t="shared" si="17"/>
        <v>0.74597191907236304</v>
      </c>
      <c r="V53" s="12">
        <f t="shared" si="18"/>
        <v>0.8393100482930308</v>
      </c>
      <c r="W53" s="10">
        <f>IF($Q53=0,"-",(VLOOKUP(L53,'APP 2885'!$B$10:$G$54,4)*$G53)/($K53+$O53))</f>
        <v>2.9004928831860446</v>
      </c>
    </row>
    <row r="54" spans="1:23" ht="19.5" customHeight="1" thickBot="1" x14ac:dyDescent="0.3">
      <c r="A54" s="13" t="s">
        <v>68</v>
      </c>
      <c r="B54" s="13" t="s">
        <v>32</v>
      </c>
      <c r="C54" s="13" t="s">
        <v>69</v>
      </c>
      <c r="D54" s="14">
        <v>15</v>
      </c>
      <c r="E54" s="14">
        <v>18068</v>
      </c>
      <c r="F54" s="14">
        <v>7.5999999999999998E-2</v>
      </c>
      <c r="G54" s="43">
        <f t="shared" si="12"/>
        <v>1373.1679999999999</v>
      </c>
      <c r="H54" s="15">
        <v>1.18</v>
      </c>
      <c r="I54" s="16">
        <f t="shared" si="19"/>
        <v>8.2593199633329326E-2</v>
      </c>
      <c r="J54" s="16">
        <f t="shared" si="13"/>
        <v>21320.239999999998</v>
      </c>
      <c r="K54" s="17">
        <f t="shared" si="10"/>
        <v>19827.946069025005</v>
      </c>
      <c r="L54" s="14">
        <v>45</v>
      </c>
      <c r="M54" s="14">
        <f t="shared" si="21"/>
        <v>31416.714336315665</v>
      </c>
      <c r="N54" s="14">
        <f t="shared" si="21"/>
        <v>31416.714336315665</v>
      </c>
      <c r="O54" s="18">
        <f t="shared" si="20"/>
        <v>2932.3773424118367</v>
      </c>
      <c r="P54" s="15">
        <v>0.75</v>
      </c>
      <c r="Q54" s="16">
        <f t="shared" si="14"/>
        <v>13551</v>
      </c>
      <c r="R54" s="19">
        <f t="shared" si="15"/>
        <v>0.43133091051268629</v>
      </c>
      <c r="S54" s="19">
        <f t="shared" si="16"/>
        <v>0.52466903973335399</v>
      </c>
      <c r="T54" s="20">
        <f>IF($Q54=0,"-",(VLOOKUP(L54,'APP 2885'!$B$10:$G$54,6)*$G54)/($Q54+$O54))</f>
        <v>5.1038919799945708</v>
      </c>
      <c r="U54" s="21">
        <f t="shared" si="17"/>
        <v>0.63112729920662636</v>
      </c>
      <c r="V54" s="22">
        <f t="shared" si="18"/>
        <v>0.72446542842729411</v>
      </c>
      <c r="W54" s="20">
        <f>IF($Q54=0,"-",(VLOOKUP(L54,'APP 2885'!$B$10:$G$54,4)*$G54)/($K54+$O54))</f>
        <v>3.3602884642062443</v>
      </c>
    </row>
    <row r="55" spans="1:23" ht="20.100000000000001" customHeight="1" thickBot="1" x14ac:dyDescent="0.3">
      <c r="A55" s="3" t="s">
        <v>70</v>
      </c>
      <c r="B55" s="3" t="s">
        <v>27</v>
      </c>
      <c r="C55" s="3" t="s">
        <v>71</v>
      </c>
      <c r="D55" s="4">
        <v>21</v>
      </c>
      <c r="E55" s="4">
        <v>21</v>
      </c>
      <c r="F55" s="4">
        <v>75</v>
      </c>
      <c r="G55" s="42">
        <f t="shared" si="12"/>
        <v>1575</v>
      </c>
      <c r="H55" s="5">
        <v>750</v>
      </c>
      <c r="I55" s="6">
        <f t="shared" si="19"/>
        <v>36.935801267520759</v>
      </c>
      <c r="J55" s="6">
        <f t="shared" si="13"/>
        <v>15750</v>
      </c>
      <c r="K55" s="7">
        <f t="shared" si="10"/>
        <v>14974.348173382064</v>
      </c>
      <c r="L55" s="4">
        <v>13</v>
      </c>
      <c r="M55" s="4">
        <f t="shared" si="21"/>
        <v>16329.512139324968</v>
      </c>
      <c r="N55" s="4">
        <f t="shared" si="21"/>
        <v>16329.512139324968</v>
      </c>
      <c r="O55" s="8">
        <f t="shared" si="20"/>
        <v>3363.3862093339226</v>
      </c>
      <c r="P55" s="5">
        <v>150</v>
      </c>
      <c r="Q55" s="6">
        <f t="shared" si="14"/>
        <v>3150</v>
      </c>
      <c r="R55" s="9">
        <f t="shared" si="15"/>
        <v>0.19290227246986297</v>
      </c>
      <c r="S55" s="9">
        <f t="shared" si="16"/>
        <v>0.39887206389027946</v>
      </c>
      <c r="T55" s="10">
        <f>IF($Q55=0,"-",(VLOOKUP(L55,'APP 2885'!$B$10:$G$54,6)*$G55)/($Q55+$O55))</f>
        <v>3.1411871819309809</v>
      </c>
      <c r="U55" s="11">
        <f t="shared" si="17"/>
        <v>0.91701136234931491</v>
      </c>
      <c r="V55" s="12">
        <f t="shared" si="18"/>
        <v>1.1229811537697312</v>
      </c>
      <c r="W55" s="10">
        <f>IF($Q55=0,"-",(VLOOKUP(L55,'APP 2885'!$B$10:$G$54,4)*$G55)/($K55+$O55))</f>
        <v>1.0142903273913038</v>
      </c>
    </row>
    <row r="56" spans="1:23" ht="20.100000000000001" customHeight="1" thickBot="1" x14ac:dyDescent="0.3">
      <c r="A56" s="13" t="s">
        <v>70</v>
      </c>
      <c r="B56" s="13" t="s">
        <v>29</v>
      </c>
      <c r="C56" s="13" t="s">
        <v>71</v>
      </c>
      <c r="D56" s="14">
        <v>1</v>
      </c>
      <c r="E56" s="14">
        <v>1</v>
      </c>
      <c r="F56" s="14">
        <v>71</v>
      </c>
      <c r="G56" s="43">
        <f t="shared" si="12"/>
        <v>71</v>
      </c>
      <c r="H56" s="15">
        <v>750</v>
      </c>
      <c r="I56" s="16">
        <f t="shared" si="19"/>
        <v>34.965891866586318</v>
      </c>
      <c r="J56" s="16">
        <f t="shared" si="13"/>
        <v>750</v>
      </c>
      <c r="K56" s="17">
        <f t="shared" si="10"/>
        <v>715.03410813341372</v>
      </c>
      <c r="L56" s="14">
        <v>13</v>
      </c>
      <c r="M56" s="14">
        <f t="shared" si="21"/>
        <v>736.12403929655409</v>
      </c>
      <c r="N56" s="14">
        <f t="shared" si="21"/>
        <v>736.12403929655409</v>
      </c>
      <c r="O56" s="18">
        <f t="shared" si="20"/>
        <v>151.61931483346569</v>
      </c>
      <c r="P56" s="15">
        <v>150</v>
      </c>
      <c r="Q56" s="16">
        <f t="shared" si="14"/>
        <v>150</v>
      </c>
      <c r="R56" s="19">
        <f t="shared" si="15"/>
        <v>0.20377000613013696</v>
      </c>
      <c r="S56" s="19">
        <f t="shared" si="16"/>
        <v>0.4097397975505534</v>
      </c>
      <c r="T56" s="20">
        <f>IF($Q56=0,"-",(VLOOKUP(L56,'APP 2885'!$B$10:$G$54,6)*$G56)/($Q56+$O56))</f>
        <v>3.0578719026381993</v>
      </c>
      <c r="U56" s="21">
        <f t="shared" si="17"/>
        <v>0.97135003065068481</v>
      </c>
      <c r="V56" s="22">
        <f t="shared" si="18"/>
        <v>1.1773198220711012</v>
      </c>
      <c r="W56" s="20">
        <f>IF($Q56=0,"-",(VLOOKUP(L56,'APP 2885'!$B$10:$G$54,4)*$G56)/($K56+$O56))</f>
        <v>0.96747621229006719</v>
      </c>
    </row>
    <row r="57" spans="1:23" ht="20.100000000000001" customHeight="1" thickBot="1" x14ac:dyDescent="0.3">
      <c r="A57" s="3" t="s">
        <v>72</v>
      </c>
      <c r="B57" s="3" t="s">
        <v>27</v>
      </c>
      <c r="C57" s="3" t="s">
        <v>76</v>
      </c>
      <c r="D57" s="4">
        <v>14</v>
      </c>
      <c r="E57" s="4">
        <v>1507.53</v>
      </c>
      <c r="F57" s="4">
        <v>0.63</v>
      </c>
      <c r="G57" s="42">
        <f t="shared" si="12"/>
        <v>949.74389999999994</v>
      </c>
      <c r="H57" s="5">
        <v>23.09</v>
      </c>
      <c r="I57" s="6">
        <f t="shared" si="19"/>
        <v>0.68465415485522985</v>
      </c>
      <c r="J57" s="6">
        <f t="shared" si="13"/>
        <v>34808.867700000003</v>
      </c>
      <c r="K57" s="7">
        <f t="shared" si="10"/>
        <v>33776.731021931097</v>
      </c>
      <c r="L57" s="4">
        <v>45</v>
      </c>
      <c r="M57" s="4">
        <f t="shared" si="21"/>
        <v>21729.193222503258</v>
      </c>
      <c r="N57" s="4">
        <f t="shared" si="21"/>
        <v>21729.193222503258</v>
      </c>
      <c r="O57" s="8">
        <f t="shared" si="20"/>
        <v>2028.1622448628668</v>
      </c>
      <c r="P57" s="5">
        <v>5</v>
      </c>
      <c r="Q57" s="6">
        <f t="shared" si="14"/>
        <v>7537.65</v>
      </c>
      <c r="R57" s="9">
        <f t="shared" si="15"/>
        <v>0.34689046771390636</v>
      </c>
      <c r="S57" s="9">
        <f t="shared" si="16"/>
        <v>0.44022859693457417</v>
      </c>
      <c r="T57" s="10">
        <f>IF($Q57=0,"-",(VLOOKUP(L57,'APP 2885'!$B$10:$G$54,6)*$G57)/($Q57+$O57))</f>
        <v>6.0828717686518115</v>
      </c>
      <c r="U57" s="11">
        <f t="shared" si="17"/>
        <v>1.5544401799028198</v>
      </c>
      <c r="V57" s="12">
        <f t="shared" si="18"/>
        <v>1.6477783091234877</v>
      </c>
      <c r="W57" s="10">
        <f>IF($Q57=0,"-",(VLOOKUP(L57,'APP 2885'!$B$10:$G$54,4)*$G57)/($K57+$O57))</f>
        <v>1.4773909866281845</v>
      </c>
    </row>
    <row r="58" spans="1:23" ht="20.100000000000001" customHeight="1" thickBot="1" x14ac:dyDescent="0.3">
      <c r="A58" s="13" t="s">
        <v>72</v>
      </c>
      <c r="B58" s="13" t="s">
        <v>29</v>
      </c>
      <c r="C58" s="13" t="s">
        <v>76</v>
      </c>
      <c r="D58" s="14">
        <v>7</v>
      </c>
      <c r="E58" s="14">
        <v>838.76</v>
      </c>
      <c r="F58" s="14">
        <v>0.63</v>
      </c>
      <c r="G58" s="43">
        <f t="shared" si="12"/>
        <v>528.41880000000003</v>
      </c>
      <c r="H58" s="15">
        <v>23.09</v>
      </c>
      <c r="I58" s="16">
        <f t="shared" si="19"/>
        <v>0.68465415485522985</v>
      </c>
      <c r="J58" s="16">
        <f t="shared" si="13"/>
        <v>19366.968399999998</v>
      </c>
      <c r="K58" s="17">
        <f t="shared" si="10"/>
        <v>18792.707881073624</v>
      </c>
      <c r="L58" s="14">
        <v>45</v>
      </c>
      <c r="M58" s="14">
        <f t="shared" si="21"/>
        <v>12089.695135292057</v>
      </c>
      <c r="N58" s="14">
        <f t="shared" si="21"/>
        <v>12089.695135292057</v>
      </c>
      <c r="O58" s="18">
        <f t="shared" si="20"/>
        <v>1128.4295267763682</v>
      </c>
      <c r="P58" s="15">
        <v>5</v>
      </c>
      <c r="Q58" s="16">
        <f t="shared" si="14"/>
        <v>4193.8</v>
      </c>
      <c r="R58" s="19">
        <f t="shared" si="15"/>
        <v>0.34689046771390636</v>
      </c>
      <c r="S58" s="19">
        <f t="shared" si="16"/>
        <v>0.44022859693457411</v>
      </c>
      <c r="T58" s="20">
        <f>IF($Q58=0,"-",(VLOOKUP(L58,'APP 2885'!$B$10:$G$54,6)*$G58)/($Q58+$O58))</f>
        <v>6.0828717686518115</v>
      </c>
      <c r="U58" s="21">
        <f t="shared" si="17"/>
        <v>1.5544401799028194</v>
      </c>
      <c r="V58" s="22">
        <f t="shared" si="18"/>
        <v>1.6477783091234872</v>
      </c>
      <c r="W58" s="20">
        <f>IF($Q58=0,"-",(VLOOKUP(L58,'APP 2885'!$B$10:$G$54,4)*$G58)/($K58+$O58))</f>
        <v>1.4773909866281851</v>
      </c>
    </row>
    <row r="59" spans="1:23" ht="20.100000000000001" customHeight="1" thickBot="1" x14ac:dyDescent="0.3">
      <c r="A59" s="3" t="s">
        <v>72</v>
      </c>
      <c r="B59" s="3" t="s">
        <v>32</v>
      </c>
      <c r="C59" s="3" t="s">
        <v>76</v>
      </c>
      <c r="D59" s="4">
        <v>10</v>
      </c>
      <c r="E59" s="4">
        <v>1820.31</v>
      </c>
      <c r="F59" s="4">
        <v>0.63</v>
      </c>
      <c r="G59" s="42">
        <f t="shared" si="12"/>
        <v>1146.7953</v>
      </c>
      <c r="H59" s="5">
        <v>23.09</v>
      </c>
      <c r="I59" s="6">
        <f t="shared" si="19"/>
        <v>0.68465415485522985</v>
      </c>
      <c r="J59" s="6">
        <f t="shared" si="13"/>
        <v>42030.957900000001</v>
      </c>
      <c r="K59" s="7">
        <f t="shared" si="10"/>
        <v>40784.675095375474</v>
      </c>
      <c r="L59" s="4">
        <v>45</v>
      </c>
      <c r="M59" s="4">
        <f t="shared" si="21"/>
        <v>26237.532728937338</v>
      </c>
      <c r="N59" s="4">
        <f t="shared" si="21"/>
        <v>26237.532728937338</v>
      </c>
      <c r="O59" s="8">
        <f t="shared" si="20"/>
        <v>2448.9622202850528</v>
      </c>
      <c r="P59" s="5">
        <v>5</v>
      </c>
      <c r="Q59" s="6">
        <f t="shared" si="14"/>
        <v>9101.5499999999993</v>
      </c>
      <c r="R59" s="9">
        <f t="shared" si="15"/>
        <v>0.34689046771390636</v>
      </c>
      <c r="S59" s="9">
        <f t="shared" si="16"/>
        <v>0.44022859693457417</v>
      </c>
      <c r="T59" s="10">
        <f>IF($Q59=0,"-",(VLOOKUP(L59,'APP 2885'!$B$10:$G$54,6)*$G59)/($Q59+$O59))</f>
        <v>6.0828717686518115</v>
      </c>
      <c r="U59" s="11">
        <f t="shared" si="17"/>
        <v>1.5544401799028196</v>
      </c>
      <c r="V59" s="12">
        <f t="shared" si="18"/>
        <v>1.6477783091234874</v>
      </c>
      <c r="W59" s="10">
        <f>IF($Q59=0,"-",(VLOOKUP(L59,'APP 2885'!$B$10:$G$54,4)*$G59)/($K59+$O59))</f>
        <v>1.4773909866281849</v>
      </c>
    </row>
    <row r="60" spans="1:23" ht="20.100000000000001" customHeight="1" thickBot="1" x14ac:dyDescent="0.3">
      <c r="A60" s="13" t="s">
        <v>74</v>
      </c>
      <c r="B60" s="13" t="s">
        <v>27</v>
      </c>
      <c r="C60" s="13" t="s">
        <v>73</v>
      </c>
      <c r="D60" s="14">
        <v>29</v>
      </c>
      <c r="E60" s="14">
        <v>2961.69</v>
      </c>
      <c r="F60" s="14">
        <v>0.6</v>
      </c>
      <c r="G60" s="43">
        <f t="shared" ref="G60:G65" si="22">IF(ISNUMBER(E60),E60*F60,"")</f>
        <v>1777.0139999999999</v>
      </c>
      <c r="H60" s="15">
        <v>24.76</v>
      </c>
      <c r="I60" s="16">
        <f t="shared" si="19"/>
        <v>0.65205157605259978</v>
      </c>
      <c r="J60" s="16">
        <f t="shared" ref="J60:J65" si="23">IF(ISNUMBER(H60),H60*E60,"")</f>
        <v>73331.444400000008</v>
      </c>
      <c r="K60" s="17">
        <f t="shared" si="10"/>
        <v>71400.269767720776</v>
      </c>
      <c r="L60" s="14">
        <v>45</v>
      </c>
      <c r="M60" s="14">
        <f t="shared" si="21"/>
        <v>40656.308047983679</v>
      </c>
      <c r="N60" s="14">
        <f t="shared" si="21"/>
        <v>40656.308047983679</v>
      </c>
      <c r="O60" s="18">
        <f t="shared" si="20"/>
        <v>3794.7837342179746</v>
      </c>
      <c r="P60" s="15">
        <v>7</v>
      </c>
      <c r="Q60" s="16">
        <f t="shared" ref="Q60:Q65" si="24">IF(ISNUMBER(P60),P60*E60,"")</f>
        <v>20731.830000000002</v>
      </c>
      <c r="R60" s="19">
        <f t="shared" ref="R60:R65" si="25">IF(ISERROR(Q60/N60),0,Q60/N60)</f>
        <v>0.50992898753944238</v>
      </c>
      <c r="S60" s="19">
        <f t="shared" ref="S60:S65" si="26">IF(ISERROR((O60+Q60)/N60),0,(O60+Q60)/N60)</f>
        <v>0.60326711676011013</v>
      </c>
      <c r="T60" s="20">
        <f>IF($Q60=0,"-",(VLOOKUP(L60,'APP 2885'!$B$10:$G$54,6)*$G60)/($Q60+$O60))</f>
        <v>4.4389193934987343</v>
      </c>
      <c r="U60" s="21">
        <f t="shared" ref="U60:U76" si="27">IF(ISERROR(RK60/M60),0,K60/M60)</f>
        <v>1.7561916759252276</v>
      </c>
      <c r="V60" s="22">
        <f t="shared" ref="V60:V65" si="28">IF(ISERROR(K60/M60),0,(K60+O60)/M60)</f>
        <v>1.8495298051458953</v>
      </c>
      <c r="W60" s="20">
        <f>IF($Q60=0,"-",(VLOOKUP(L60,'APP 2885'!$B$10:$G$54,4)*$G60)/($K60+$O60))</f>
        <v>1.316233355681683</v>
      </c>
    </row>
    <row r="61" spans="1:23" ht="20.100000000000001" customHeight="1" thickBot="1" x14ac:dyDescent="0.3">
      <c r="A61" s="3" t="s">
        <v>74</v>
      </c>
      <c r="B61" s="3" t="s">
        <v>29</v>
      </c>
      <c r="C61" s="3" t="s">
        <v>73</v>
      </c>
      <c r="D61" s="4">
        <v>7</v>
      </c>
      <c r="E61" s="4">
        <v>789.87</v>
      </c>
      <c r="F61" s="4">
        <v>0.6</v>
      </c>
      <c r="G61" s="42">
        <f t="shared" si="22"/>
        <v>473.92199999999997</v>
      </c>
      <c r="H61" s="5">
        <v>24.76</v>
      </c>
      <c r="I61" s="6">
        <f t="shared" si="19"/>
        <v>0.65205157605259978</v>
      </c>
      <c r="J61" s="6">
        <f t="shared" si="23"/>
        <v>19557.181200000003</v>
      </c>
      <c r="K61" s="7">
        <f t="shared" ref="K61:K65" si="29">J61-E61*(I61)</f>
        <v>19042.145221623337</v>
      </c>
      <c r="L61" s="4">
        <v>45</v>
      </c>
      <c r="M61" s="4">
        <f t="shared" si="21"/>
        <v>10842.862702666676</v>
      </c>
      <c r="N61" s="4">
        <f t="shared" si="21"/>
        <v>10842.862702666676</v>
      </c>
      <c r="O61" s="8">
        <f t="shared" si="20"/>
        <v>1012.052520063461</v>
      </c>
      <c r="P61" s="5">
        <v>7</v>
      </c>
      <c r="Q61" s="6">
        <f t="shared" si="24"/>
        <v>5529.09</v>
      </c>
      <c r="R61" s="9">
        <f t="shared" si="25"/>
        <v>0.50992898753944238</v>
      </c>
      <c r="S61" s="9">
        <f t="shared" si="26"/>
        <v>0.60326711676011013</v>
      </c>
      <c r="T61" s="10">
        <f>IF($Q61=0,"-",(VLOOKUP(L61,'APP 2885'!$B$10:$G$54,6)*$G61)/($Q61+$O61))</f>
        <v>4.4389193934987343</v>
      </c>
      <c r="U61" s="11">
        <f t="shared" si="27"/>
        <v>1.7561916759252281</v>
      </c>
      <c r="V61" s="12">
        <f t="shared" si="28"/>
        <v>1.8495298051458959</v>
      </c>
      <c r="W61" s="10">
        <f>IF($Q61=0,"-",(VLOOKUP(L61,'APP 2885'!$B$10:$G$54,4)*$G61)/($K61+$O61))</f>
        <v>1.3162333556816825</v>
      </c>
    </row>
    <row r="62" spans="1:23" ht="20.100000000000001" customHeight="1" thickBot="1" x14ac:dyDescent="0.3">
      <c r="A62" s="13" t="s">
        <v>74</v>
      </c>
      <c r="B62" s="13" t="s">
        <v>32</v>
      </c>
      <c r="C62" s="13" t="s">
        <v>73</v>
      </c>
      <c r="D62" s="14">
        <v>27</v>
      </c>
      <c r="E62" s="14">
        <v>3281.84</v>
      </c>
      <c r="F62" s="14">
        <v>0.6</v>
      </c>
      <c r="G62" s="43">
        <f t="shared" si="22"/>
        <v>1969.104</v>
      </c>
      <c r="H62" s="15">
        <v>24.76</v>
      </c>
      <c r="I62" s="16">
        <f t="shared" si="19"/>
        <v>0.65205157605259978</v>
      </c>
      <c r="J62" s="16">
        <f t="shared" si="23"/>
        <v>81258.358400000012</v>
      </c>
      <c r="K62" s="17">
        <f t="shared" si="29"/>
        <v>79118.429455647551</v>
      </c>
      <c r="L62" s="14">
        <v>45</v>
      </c>
      <c r="M62" s="14">
        <f t="shared" si="21"/>
        <v>45051.135670578202</v>
      </c>
      <c r="N62" s="14">
        <f t="shared" si="21"/>
        <v>45051.135670578202</v>
      </c>
      <c r="O62" s="18">
        <f t="shared" si="20"/>
        <v>4204.9887227582631</v>
      </c>
      <c r="P62" s="15">
        <v>7</v>
      </c>
      <c r="Q62" s="16">
        <f t="shared" si="24"/>
        <v>22972.880000000001</v>
      </c>
      <c r="R62" s="19">
        <f t="shared" si="25"/>
        <v>0.50992898753944238</v>
      </c>
      <c r="S62" s="19">
        <f t="shared" si="26"/>
        <v>0.60326711676011013</v>
      </c>
      <c r="T62" s="20">
        <f>IF($Q62=0,"-",(VLOOKUP(L62,'APP 2885'!$B$10:$G$54,6)*$G62)/($Q62+$O62))</f>
        <v>4.4389193934987343</v>
      </c>
      <c r="U62" s="21">
        <f t="shared" si="27"/>
        <v>1.7561916759252278</v>
      </c>
      <c r="V62" s="22">
        <f t="shared" si="28"/>
        <v>1.8495298051458957</v>
      </c>
      <c r="W62" s="20">
        <f>IF($Q62=0,"-",(VLOOKUP(L62,'APP 2885'!$B$10:$G$54,4)*$G62)/($K62+$O62))</f>
        <v>1.3162333556816828</v>
      </c>
    </row>
    <row r="63" spans="1:23" ht="20.100000000000001" customHeight="1" thickBot="1" x14ac:dyDescent="0.3">
      <c r="A63" s="3" t="s">
        <v>75</v>
      </c>
      <c r="B63" s="3" t="s">
        <v>27</v>
      </c>
      <c r="C63" s="3" t="s">
        <v>76</v>
      </c>
      <c r="D63" s="4">
        <v>31</v>
      </c>
      <c r="E63" s="4">
        <v>4184.26</v>
      </c>
      <c r="F63" s="4">
        <v>0.2</v>
      </c>
      <c r="G63" s="42">
        <f t="shared" si="22"/>
        <v>836.85200000000009</v>
      </c>
      <c r="H63" s="5">
        <v>24.76</v>
      </c>
      <c r="I63" s="6">
        <f t="shared" si="19"/>
        <v>0.21735052535086666</v>
      </c>
      <c r="J63" s="6">
        <f t="shared" si="23"/>
        <v>103602.27760000002</v>
      </c>
      <c r="K63" s="7">
        <f t="shared" si="29"/>
        <v>102692.8264907954</v>
      </c>
      <c r="L63" s="4">
        <v>45</v>
      </c>
      <c r="M63" s="4">
        <f t="shared" si="21"/>
        <v>19146.339141149841</v>
      </c>
      <c r="N63" s="4">
        <f t="shared" si="21"/>
        <v>19146.339141149841</v>
      </c>
      <c r="O63" s="8">
        <f t="shared" si="20"/>
        <v>1787.0834768593725</v>
      </c>
      <c r="P63" s="5">
        <v>5</v>
      </c>
      <c r="Q63" s="6">
        <f t="shared" si="24"/>
        <v>20921.300000000003</v>
      </c>
      <c r="R63" s="9">
        <f t="shared" si="25"/>
        <v>1.092704973298805</v>
      </c>
      <c r="S63" s="9">
        <f t="shared" si="26"/>
        <v>1.1860431025194729</v>
      </c>
      <c r="T63" s="10">
        <f>IF($Q63=0,"-",(VLOOKUP(L63,'APP 2885'!$B$10:$G$54,6)*$G63)/($Q63+$O63))</f>
        <v>2.2578050480273775</v>
      </c>
      <c r="U63" s="11">
        <f t="shared" si="27"/>
        <v>5.3635750277756822</v>
      </c>
      <c r="V63" s="12">
        <f t="shared" si="28"/>
        <v>5.4569131569963503</v>
      </c>
      <c r="W63" s="10">
        <f>IF($Q63=0,"-",(VLOOKUP(L63,'APP 2885'!$B$10:$G$54,4)*$G63)/($K63+$O63))</f>
        <v>0.44611536812516273</v>
      </c>
    </row>
    <row r="64" spans="1:23" ht="20.100000000000001" customHeight="1" thickBot="1" x14ac:dyDescent="0.3">
      <c r="A64" s="13" t="s">
        <v>75</v>
      </c>
      <c r="B64" s="13" t="s">
        <v>29</v>
      </c>
      <c r="C64" s="13" t="s">
        <v>76</v>
      </c>
      <c r="D64" s="14">
        <v>10</v>
      </c>
      <c r="E64" s="14">
        <v>1130.81</v>
      </c>
      <c r="F64" s="14">
        <v>0.2</v>
      </c>
      <c r="G64" s="43">
        <f t="shared" si="22"/>
        <v>226.16200000000001</v>
      </c>
      <c r="H64" s="15">
        <v>24.76</v>
      </c>
      <c r="I64" s="16">
        <f t="shared" si="19"/>
        <v>0.21735052535086666</v>
      </c>
      <c r="J64" s="16">
        <f t="shared" si="23"/>
        <v>27998.855599999999</v>
      </c>
      <c r="K64" s="17">
        <f t="shared" si="29"/>
        <v>27753.073452427987</v>
      </c>
      <c r="L64" s="14">
        <v>45</v>
      </c>
      <c r="M64" s="14">
        <f t="shared" si="21"/>
        <v>5174.3610015160739</v>
      </c>
      <c r="N64" s="14">
        <f t="shared" si="21"/>
        <v>5174.3610015160739</v>
      </c>
      <c r="O64" s="18">
        <f t="shared" si="20"/>
        <v>482.96517579389109</v>
      </c>
      <c r="P64" s="15">
        <v>5</v>
      </c>
      <c r="Q64" s="16">
        <f t="shared" si="24"/>
        <v>5654.0499999999993</v>
      </c>
      <c r="R64" s="19">
        <f t="shared" si="25"/>
        <v>1.092704973298805</v>
      </c>
      <c r="S64" s="19">
        <f t="shared" si="26"/>
        <v>1.1860431025194726</v>
      </c>
      <c r="T64" s="20">
        <f>IF($Q64=0,"-",(VLOOKUP(L64,'APP 2885'!$B$10:$G$54,6)*$G64)/($Q64+$O64))</f>
        <v>2.2578050480273784</v>
      </c>
      <c r="U64" s="21">
        <f t="shared" si="27"/>
        <v>5.3635750277756831</v>
      </c>
      <c r="V64" s="22">
        <f t="shared" si="28"/>
        <v>5.4569131569963512</v>
      </c>
      <c r="W64" s="20">
        <f>IF($Q64=0,"-",(VLOOKUP(L64,'APP 2885'!$B$10:$G$54,4)*$G64)/($K64+$O64))</f>
        <v>0.44611536812516273</v>
      </c>
    </row>
    <row r="65" spans="1:23" s="50" customFormat="1" ht="20.100000000000001" customHeight="1" thickBot="1" x14ac:dyDescent="0.3">
      <c r="A65" s="3" t="s">
        <v>75</v>
      </c>
      <c r="B65" s="3" t="s">
        <v>32</v>
      </c>
      <c r="C65" s="3" t="s">
        <v>76</v>
      </c>
      <c r="D65" s="4">
        <v>25</v>
      </c>
      <c r="E65" s="4">
        <v>2031.54</v>
      </c>
      <c r="F65" s="4">
        <v>0.2</v>
      </c>
      <c r="G65" s="42">
        <f t="shared" si="22"/>
        <v>406.30799999999999</v>
      </c>
      <c r="H65" s="5">
        <v>24.76</v>
      </c>
      <c r="I65" s="6">
        <f t="shared" si="19"/>
        <v>0.21735052535086666</v>
      </c>
      <c r="J65" s="6">
        <f t="shared" si="23"/>
        <v>50300.930400000005</v>
      </c>
      <c r="K65" s="7">
        <f t="shared" si="29"/>
        <v>49859.374113728707</v>
      </c>
      <c r="L65" s="4">
        <v>45</v>
      </c>
      <c r="M65" s="4">
        <f>PV($B$80,$L65,-$G65)</f>
        <v>9295.9218162378857</v>
      </c>
      <c r="N65" s="4">
        <f t="shared" si="21"/>
        <v>9295.9218162378857</v>
      </c>
      <c r="O65" s="8">
        <f>(G65/$G$76)*$O$76</f>
        <v>867.66395170923636</v>
      </c>
      <c r="P65" s="5">
        <v>5</v>
      </c>
      <c r="Q65" s="6">
        <f t="shared" si="24"/>
        <v>10157.700000000001</v>
      </c>
      <c r="R65" s="9">
        <f t="shared" si="25"/>
        <v>1.0927049732988052</v>
      </c>
      <c r="S65" s="9">
        <f t="shared" si="26"/>
        <v>1.1860431025194731</v>
      </c>
      <c r="T65" s="10">
        <f>IF($Q65=0,"-",(VLOOKUP(L65,'APP 2885'!$B$10:$G$54,6)*$G65)/($Q65+$O65))</f>
        <v>2.2578050480273775</v>
      </c>
      <c r="U65" s="11">
        <f t="shared" si="27"/>
        <v>5.363575027775684</v>
      </c>
      <c r="V65" s="12">
        <f t="shared" si="28"/>
        <v>5.456913156996352</v>
      </c>
      <c r="W65" s="10">
        <f>IF($Q65=0,"-",(VLOOKUP(L65,'APP 2885'!$B$10:$G$54,4)*$G65)/($K65+$O65))</f>
        <v>0.44611536812516273</v>
      </c>
    </row>
    <row r="66" spans="1:23" s="51" customFormat="1" ht="20.100000000000001" customHeight="1" thickBot="1" x14ac:dyDescent="0.3">
      <c r="A66" s="58" t="s">
        <v>99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</row>
    <row r="67" spans="1:23" ht="20.100000000000001" customHeight="1" thickBot="1" x14ac:dyDescent="0.3">
      <c r="A67" s="13" t="s">
        <v>37</v>
      </c>
      <c r="B67" s="13" t="s">
        <v>27</v>
      </c>
      <c r="C67" s="13"/>
      <c r="D67" s="14">
        <v>107</v>
      </c>
      <c r="E67" s="14">
        <v>107</v>
      </c>
      <c r="F67" s="14">
        <v>0</v>
      </c>
      <c r="G67" s="43">
        <f t="shared" ref="G67:G75" si="30">IF(ISNUMBER(E67),E67*F67,"")</f>
        <v>0</v>
      </c>
      <c r="H67" s="15">
        <v>0</v>
      </c>
      <c r="I67" s="16">
        <f t="shared" ref="I67:I75" si="31">PV($B$80,$L67,(-0.05*0.95*$F67))</f>
        <v>0</v>
      </c>
      <c r="J67" s="16">
        <f t="shared" ref="J67:J75" si="32">IF(ISNUMBER(H67),H67*E67,"")</f>
        <v>0</v>
      </c>
      <c r="K67" s="17">
        <f t="shared" ref="K67:K75" si="33">J67-E67*(I67)</f>
        <v>0</v>
      </c>
      <c r="L67" s="14">
        <v>0</v>
      </c>
      <c r="M67" s="14">
        <f t="shared" ref="M67:N75" si="34">PV($B$80,$L67,-$G67)</f>
        <v>0</v>
      </c>
      <c r="N67" s="14">
        <f t="shared" si="34"/>
        <v>0</v>
      </c>
      <c r="O67" s="18">
        <f t="shared" ref="O67:O75" si="35">(G67/$G$76)*$O$76</f>
        <v>0</v>
      </c>
      <c r="P67" s="15">
        <v>250</v>
      </c>
      <c r="Q67" s="16">
        <f t="shared" ref="Q67:Q75" si="36">IF(ISNUMBER(P67),P67*E67,"")</f>
        <v>26750</v>
      </c>
      <c r="R67" s="19">
        <f t="shared" ref="R67:R75" si="37">IF(ISERROR(Q67/N67),0,Q67/N67)</f>
        <v>0</v>
      </c>
      <c r="S67" s="19">
        <f t="shared" ref="S67:S75" si="38">IF(ISERROR((O67+Q67)/N67),0,(O67+Q67)/N67)</f>
        <v>0</v>
      </c>
      <c r="T67" s="20" t="e">
        <f>IF($Q67=0,"-",(VLOOKUP(L67,'APP 2885'!$B$10:$G$54,6)*$G67)/($Q67+$O67))</f>
        <v>#N/A</v>
      </c>
      <c r="U67" s="21">
        <f t="shared" ref="U67:U75" si="39">IF(ISERROR(RK67/M67),0,K67/M67)</f>
        <v>0</v>
      </c>
      <c r="V67" s="22">
        <f t="shared" ref="V67:V75" si="40">IF(ISERROR(K67/M67),0,(K67+O67)/M67)</f>
        <v>0</v>
      </c>
      <c r="W67" s="20" t="e">
        <f>IF($Q67=0,"-",(VLOOKUP(L67,'APP 2885'!$B$10:$G$54,4)*$G67)/($K67+$O67))</f>
        <v>#N/A</v>
      </c>
    </row>
    <row r="68" spans="1:23" ht="20.100000000000001" customHeight="1" thickBot="1" x14ac:dyDescent="0.3">
      <c r="A68" s="3" t="s">
        <v>37</v>
      </c>
      <c r="B68" s="3" t="s">
        <v>29</v>
      </c>
      <c r="C68" s="3"/>
      <c r="D68" s="4">
        <v>20</v>
      </c>
      <c r="E68" s="4">
        <v>20</v>
      </c>
      <c r="F68" s="4">
        <v>0</v>
      </c>
      <c r="G68" s="42">
        <f t="shared" si="30"/>
        <v>0</v>
      </c>
      <c r="H68" s="5">
        <v>0</v>
      </c>
      <c r="I68" s="6">
        <f t="shared" si="31"/>
        <v>0</v>
      </c>
      <c r="J68" s="6">
        <f t="shared" si="32"/>
        <v>0</v>
      </c>
      <c r="K68" s="7">
        <f t="shared" si="33"/>
        <v>0</v>
      </c>
      <c r="L68" s="4">
        <v>0</v>
      </c>
      <c r="M68" s="4">
        <f t="shared" si="34"/>
        <v>0</v>
      </c>
      <c r="N68" s="4">
        <f t="shared" si="34"/>
        <v>0</v>
      </c>
      <c r="O68" s="8">
        <f t="shared" si="35"/>
        <v>0</v>
      </c>
      <c r="P68" s="5">
        <v>250</v>
      </c>
      <c r="Q68" s="6">
        <f t="shared" si="36"/>
        <v>5000</v>
      </c>
      <c r="R68" s="9">
        <f t="shared" si="37"/>
        <v>0</v>
      </c>
      <c r="S68" s="9">
        <f t="shared" si="38"/>
        <v>0</v>
      </c>
      <c r="T68" s="10" t="e">
        <f>IF($Q68=0,"-",(VLOOKUP(L68,'APP 2885'!$B$10:$G$54,6)*$G68)/($Q68+$O68))</f>
        <v>#N/A</v>
      </c>
      <c r="U68" s="11">
        <f t="shared" si="39"/>
        <v>0</v>
      </c>
      <c r="V68" s="12">
        <f t="shared" si="40"/>
        <v>0</v>
      </c>
      <c r="W68" s="10" t="e">
        <f>IF($Q68=0,"-",(VLOOKUP(L68,'APP 2885'!$B$10:$G$54,4)*$G68)/($K68+$O68))</f>
        <v>#N/A</v>
      </c>
    </row>
    <row r="69" spans="1:23" ht="20.100000000000001" customHeight="1" thickBot="1" x14ac:dyDescent="0.3">
      <c r="A69" s="13" t="s">
        <v>37</v>
      </c>
      <c r="B69" s="13" t="s">
        <v>32</v>
      </c>
      <c r="C69" s="13"/>
      <c r="D69" s="14">
        <v>23</v>
      </c>
      <c r="E69" s="14">
        <v>23</v>
      </c>
      <c r="F69" s="14">
        <v>0</v>
      </c>
      <c r="G69" s="43">
        <f t="shared" si="30"/>
        <v>0</v>
      </c>
      <c r="H69" s="15">
        <v>0</v>
      </c>
      <c r="I69" s="16">
        <f t="shared" si="31"/>
        <v>0</v>
      </c>
      <c r="J69" s="16">
        <f t="shared" si="32"/>
        <v>0</v>
      </c>
      <c r="K69" s="17">
        <f t="shared" si="33"/>
        <v>0</v>
      </c>
      <c r="L69" s="14">
        <v>0</v>
      </c>
      <c r="M69" s="14">
        <f t="shared" si="34"/>
        <v>0</v>
      </c>
      <c r="N69" s="14">
        <f t="shared" si="34"/>
        <v>0</v>
      </c>
      <c r="O69" s="18">
        <f t="shared" si="35"/>
        <v>0</v>
      </c>
      <c r="P69" s="15">
        <v>250</v>
      </c>
      <c r="Q69" s="16">
        <f t="shared" si="36"/>
        <v>5750</v>
      </c>
      <c r="R69" s="19">
        <f t="shared" si="37"/>
        <v>0</v>
      </c>
      <c r="S69" s="19">
        <f t="shared" si="38"/>
        <v>0</v>
      </c>
      <c r="T69" s="20" t="e">
        <f>IF($Q69=0,"-",(VLOOKUP(L69,'APP 2885'!$B$10:$G$54,6)*$G69)/($Q69+$O69))</f>
        <v>#N/A</v>
      </c>
      <c r="U69" s="21">
        <f t="shared" si="39"/>
        <v>0</v>
      </c>
      <c r="V69" s="22">
        <f t="shared" si="40"/>
        <v>0</v>
      </c>
      <c r="W69" s="20" t="e">
        <f>IF($Q69=0,"-",(VLOOKUP(L69,'APP 2885'!$B$10:$G$54,4)*$G69)/($K69+$O69))</f>
        <v>#N/A</v>
      </c>
    </row>
    <row r="70" spans="1:23" ht="20.100000000000001" customHeight="1" thickBot="1" x14ac:dyDescent="0.3">
      <c r="A70" s="3" t="s">
        <v>38</v>
      </c>
      <c r="B70" s="3" t="s">
        <v>27</v>
      </c>
      <c r="C70" s="3"/>
      <c r="D70" s="4">
        <v>13</v>
      </c>
      <c r="E70" s="4">
        <v>13</v>
      </c>
      <c r="F70" s="4">
        <v>0</v>
      </c>
      <c r="G70" s="42">
        <f t="shared" si="30"/>
        <v>0</v>
      </c>
      <c r="H70" s="5">
        <v>0</v>
      </c>
      <c r="I70" s="6">
        <f t="shared" si="31"/>
        <v>0</v>
      </c>
      <c r="J70" s="6">
        <f t="shared" si="32"/>
        <v>0</v>
      </c>
      <c r="K70" s="7">
        <f t="shared" si="33"/>
        <v>0</v>
      </c>
      <c r="L70" s="4">
        <v>0</v>
      </c>
      <c r="M70" s="4">
        <f t="shared" si="34"/>
        <v>0</v>
      </c>
      <c r="N70" s="4">
        <f t="shared" si="34"/>
        <v>0</v>
      </c>
      <c r="O70" s="8">
        <f t="shared" si="35"/>
        <v>0</v>
      </c>
      <c r="P70" s="5">
        <v>500</v>
      </c>
      <c r="Q70" s="6">
        <f t="shared" si="36"/>
        <v>6500</v>
      </c>
      <c r="R70" s="9">
        <f t="shared" si="37"/>
        <v>0</v>
      </c>
      <c r="S70" s="9">
        <f t="shared" si="38"/>
        <v>0</v>
      </c>
      <c r="T70" s="10" t="e">
        <f>IF($Q70=0,"-",(VLOOKUP(L70,'APP 2885'!$B$10:$G$54,6)*$G70)/($Q70+$O70))</f>
        <v>#N/A</v>
      </c>
      <c r="U70" s="11">
        <f t="shared" si="39"/>
        <v>0</v>
      </c>
      <c r="V70" s="12">
        <f t="shared" si="40"/>
        <v>0</v>
      </c>
      <c r="W70" s="10" t="e">
        <f>IF($Q70=0,"-",(VLOOKUP(L70,'APP 2885'!$B$10:$G$54,4)*$G70)/($K70+$O70))</f>
        <v>#N/A</v>
      </c>
    </row>
    <row r="71" spans="1:23" ht="20.100000000000001" customHeight="1" thickBot="1" x14ac:dyDescent="0.3">
      <c r="A71" s="59" t="s">
        <v>51</v>
      </c>
      <c r="B71" s="59" t="s">
        <v>27</v>
      </c>
      <c r="C71" s="59" t="s">
        <v>52</v>
      </c>
      <c r="D71" s="60">
        <v>1</v>
      </c>
      <c r="E71" s="60">
        <v>1</v>
      </c>
      <c r="F71" s="60">
        <v>0</v>
      </c>
      <c r="G71" s="61">
        <f t="shared" si="30"/>
        <v>0</v>
      </c>
      <c r="H71" s="62">
        <v>10</v>
      </c>
      <c r="I71" s="63">
        <f t="shared" si="31"/>
        <v>0</v>
      </c>
      <c r="J71" s="63">
        <f t="shared" si="32"/>
        <v>10</v>
      </c>
      <c r="K71" s="64">
        <f t="shared" si="33"/>
        <v>10</v>
      </c>
      <c r="L71" s="60">
        <v>10</v>
      </c>
      <c r="M71" s="60">
        <f t="shared" si="34"/>
        <v>0</v>
      </c>
      <c r="N71" s="60">
        <f t="shared" si="34"/>
        <v>0</v>
      </c>
      <c r="O71" s="65">
        <f t="shared" si="35"/>
        <v>0</v>
      </c>
      <c r="P71" s="62">
        <v>0</v>
      </c>
      <c r="Q71" s="63">
        <f t="shared" si="36"/>
        <v>0</v>
      </c>
      <c r="R71" s="66">
        <f t="shared" si="37"/>
        <v>0</v>
      </c>
      <c r="S71" s="66">
        <f t="shared" si="38"/>
        <v>0</v>
      </c>
      <c r="T71" s="67" t="str">
        <f>IF($Q71=0,"-",(VLOOKUP(L71,'APP 2885'!$B$10:$G$54,6)*$G71)/($Q71+$O71))</f>
        <v>-</v>
      </c>
      <c r="U71" s="68">
        <f t="shared" si="39"/>
        <v>0</v>
      </c>
      <c r="V71" s="69">
        <f t="shared" si="40"/>
        <v>0</v>
      </c>
      <c r="W71" s="67" t="str">
        <f>IF($Q71=0,"-",(VLOOKUP(L71,'APP 2885'!$B$10:$G$54,4)*$G71)/($K71+$O71))</f>
        <v>-</v>
      </c>
    </row>
    <row r="72" spans="1:23" ht="20.100000000000001" customHeight="1" thickBot="1" x14ac:dyDescent="0.3">
      <c r="A72" s="70" t="s">
        <v>51</v>
      </c>
      <c r="B72" s="70" t="s">
        <v>29</v>
      </c>
      <c r="C72" s="70" t="s">
        <v>52</v>
      </c>
      <c r="D72" s="71">
        <v>2</v>
      </c>
      <c r="E72" s="71">
        <v>2</v>
      </c>
      <c r="F72" s="71">
        <v>0</v>
      </c>
      <c r="G72" s="72">
        <f t="shared" si="30"/>
        <v>0</v>
      </c>
      <c r="H72" s="73">
        <v>10</v>
      </c>
      <c r="I72" s="74">
        <f t="shared" si="31"/>
        <v>0</v>
      </c>
      <c r="J72" s="74">
        <f t="shared" si="32"/>
        <v>20</v>
      </c>
      <c r="K72" s="75">
        <f t="shared" si="33"/>
        <v>20</v>
      </c>
      <c r="L72" s="71">
        <v>10</v>
      </c>
      <c r="M72" s="71">
        <f t="shared" si="34"/>
        <v>0</v>
      </c>
      <c r="N72" s="71">
        <f t="shared" si="34"/>
        <v>0</v>
      </c>
      <c r="O72" s="76">
        <f t="shared" si="35"/>
        <v>0</v>
      </c>
      <c r="P72" s="73">
        <v>0</v>
      </c>
      <c r="Q72" s="74">
        <f t="shared" si="36"/>
        <v>0</v>
      </c>
      <c r="R72" s="77">
        <f t="shared" si="37"/>
        <v>0</v>
      </c>
      <c r="S72" s="77">
        <f t="shared" si="38"/>
        <v>0</v>
      </c>
      <c r="T72" s="78" t="str">
        <f>IF($Q72=0,"-",(VLOOKUP(L72,'APP 2885'!$B$10:$G$54,6)*$G72)/($Q72+$O72))</f>
        <v>-</v>
      </c>
      <c r="U72" s="79">
        <f t="shared" si="39"/>
        <v>0</v>
      </c>
      <c r="V72" s="80">
        <f t="shared" si="40"/>
        <v>0</v>
      </c>
      <c r="W72" s="78" t="str">
        <f>IF($Q72=0,"-",(VLOOKUP(L72,'APP 2885'!$B$10:$G$54,4)*$G72)/($K72+$O72))</f>
        <v>-</v>
      </c>
    </row>
    <row r="73" spans="1:23" ht="20.100000000000001" customHeight="1" thickBot="1" x14ac:dyDescent="0.3">
      <c r="A73" s="59" t="s">
        <v>53</v>
      </c>
      <c r="B73" s="59" t="s">
        <v>27</v>
      </c>
      <c r="C73" s="59" t="s">
        <v>54</v>
      </c>
      <c r="D73" s="60">
        <v>5</v>
      </c>
      <c r="E73" s="60">
        <v>5</v>
      </c>
      <c r="F73" s="60">
        <v>0</v>
      </c>
      <c r="G73" s="61">
        <f t="shared" si="30"/>
        <v>0</v>
      </c>
      <c r="H73" s="62">
        <v>16</v>
      </c>
      <c r="I73" s="63">
        <f t="shared" si="31"/>
        <v>0</v>
      </c>
      <c r="J73" s="63">
        <f t="shared" si="32"/>
        <v>80</v>
      </c>
      <c r="K73" s="64">
        <f t="shared" si="33"/>
        <v>80</v>
      </c>
      <c r="L73" s="60">
        <v>10</v>
      </c>
      <c r="M73" s="60">
        <f t="shared" si="34"/>
        <v>0</v>
      </c>
      <c r="N73" s="60">
        <f t="shared" si="34"/>
        <v>0</v>
      </c>
      <c r="O73" s="65">
        <f t="shared" si="35"/>
        <v>0</v>
      </c>
      <c r="P73" s="62">
        <v>0</v>
      </c>
      <c r="Q73" s="63">
        <f t="shared" si="36"/>
        <v>0</v>
      </c>
      <c r="R73" s="66">
        <f t="shared" si="37"/>
        <v>0</v>
      </c>
      <c r="S73" s="66">
        <f t="shared" si="38"/>
        <v>0</v>
      </c>
      <c r="T73" s="67" t="str">
        <f>IF($Q73=0,"-",(VLOOKUP(L73,'APP 2885'!$B$10:$G$54,6)*$G73)/($Q73+$O73))</f>
        <v>-</v>
      </c>
      <c r="U73" s="68">
        <f t="shared" si="39"/>
        <v>0</v>
      </c>
      <c r="V73" s="69">
        <f t="shared" si="40"/>
        <v>0</v>
      </c>
      <c r="W73" s="67" t="str">
        <f>IF($Q73=0,"-",(VLOOKUP(L73,'APP 2885'!$B$10:$G$54,4)*$G73)/($K73+$O73))</f>
        <v>-</v>
      </c>
    </row>
    <row r="74" spans="1:23" ht="20.100000000000001" customHeight="1" thickBot="1" x14ac:dyDescent="0.3">
      <c r="A74" s="70" t="s">
        <v>53</v>
      </c>
      <c r="B74" s="70" t="s">
        <v>29</v>
      </c>
      <c r="C74" s="70" t="s">
        <v>54</v>
      </c>
      <c r="D74" s="71">
        <v>3</v>
      </c>
      <c r="E74" s="71">
        <v>3</v>
      </c>
      <c r="F74" s="71">
        <v>0</v>
      </c>
      <c r="G74" s="72">
        <f t="shared" si="30"/>
        <v>0</v>
      </c>
      <c r="H74" s="73">
        <v>16</v>
      </c>
      <c r="I74" s="74">
        <f t="shared" si="31"/>
        <v>0</v>
      </c>
      <c r="J74" s="74">
        <f t="shared" si="32"/>
        <v>48</v>
      </c>
      <c r="K74" s="75">
        <f t="shared" si="33"/>
        <v>48</v>
      </c>
      <c r="L74" s="71">
        <v>10</v>
      </c>
      <c r="M74" s="71">
        <f t="shared" si="34"/>
        <v>0</v>
      </c>
      <c r="N74" s="71">
        <f t="shared" si="34"/>
        <v>0</v>
      </c>
      <c r="O74" s="76">
        <f t="shared" si="35"/>
        <v>0</v>
      </c>
      <c r="P74" s="73">
        <v>0</v>
      </c>
      <c r="Q74" s="74">
        <f t="shared" si="36"/>
        <v>0</v>
      </c>
      <c r="R74" s="77">
        <f t="shared" si="37"/>
        <v>0</v>
      </c>
      <c r="S74" s="77">
        <f t="shared" si="38"/>
        <v>0</v>
      </c>
      <c r="T74" s="78" t="str">
        <f>IF($Q74=0,"-",(VLOOKUP(L74,'APP 2885'!$B$10:$G$54,6)*$G74)/($Q74+$O74))</f>
        <v>-</v>
      </c>
      <c r="U74" s="79">
        <f t="shared" si="39"/>
        <v>0</v>
      </c>
      <c r="V74" s="80">
        <f t="shared" si="40"/>
        <v>0</v>
      </c>
      <c r="W74" s="78" t="str">
        <f>IF($Q74=0,"-",(VLOOKUP(L74,'APP 2885'!$B$10:$G$54,4)*$G74)/($K74+$O74))</f>
        <v>-</v>
      </c>
    </row>
    <row r="75" spans="1:23" s="57" customFormat="1" ht="20.100000000000001" customHeight="1" thickBot="1" x14ac:dyDescent="0.3">
      <c r="A75" s="81" t="s">
        <v>53</v>
      </c>
      <c r="B75" s="81" t="s">
        <v>32</v>
      </c>
      <c r="C75" s="81" t="s">
        <v>54</v>
      </c>
      <c r="D75" s="82">
        <v>4</v>
      </c>
      <c r="E75" s="82">
        <v>4</v>
      </c>
      <c r="F75" s="82">
        <v>0</v>
      </c>
      <c r="G75" s="83">
        <f t="shared" si="30"/>
        <v>0</v>
      </c>
      <c r="H75" s="84">
        <v>16</v>
      </c>
      <c r="I75" s="85">
        <f t="shared" si="31"/>
        <v>0</v>
      </c>
      <c r="J75" s="85">
        <f t="shared" si="32"/>
        <v>64</v>
      </c>
      <c r="K75" s="86">
        <f t="shared" si="33"/>
        <v>64</v>
      </c>
      <c r="L75" s="82">
        <v>10</v>
      </c>
      <c r="M75" s="82">
        <f t="shared" si="34"/>
        <v>0</v>
      </c>
      <c r="N75" s="82">
        <f t="shared" si="34"/>
        <v>0</v>
      </c>
      <c r="O75" s="87">
        <f t="shared" si="35"/>
        <v>0</v>
      </c>
      <c r="P75" s="84">
        <v>0</v>
      </c>
      <c r="Q75" s="85">
        <f t="shared" si="36"/>
        <v>0</v>
      </c>
      <c r="R75" s="88">
        <f t="shared" si="37"/>
        <v>0</v>
      </c>
      <c r="S75" s="88">
        <f t="shared" si="38"/>
        <v>0</v>
      </c>
      <c r="T75" s="89" t="str">
        <f>IF($Q75=0,"-",(VLOOKUP(L75,'APP 2885'!$B$10:$G$54,6)*$G75)/($Q75+$O75))</f>
        <v>-</v>
      </c>
      <c r="U75" s="90">
        <f t="shared" si="39"/>
        <v>0</v>
      </c>
      <c r="V75" s="91">
        <f t="shared" si="40"/>
        <v>0</v>
      </c>
      <c r="W75" s="89" t="str">
        <f>IF($Q75=0,"-",(VLOOKUP(L75,'APP 2885'!$B$10:$G$54,4)*$G75)/($K75+$O75))</f>
        <v>-</v>
      </c>
    </row>
    <row r="76" spans="1:23" s="50" customFormat="1" ht="30" customHeight="1" thickTop="1" thickBot="1" x14ac:dyDescent="0.3">
      <c r="A76" s="52" t="s">
        <v>77</v>
      </c>
      <c r="B76" s="23" t="s">
        <v>78</v>
      </c>
      <c r="C76" s="23" t="s">
        <v>78</v>
      </c>
      <c r="D76" s="53">
        <v>4126</v>
      </c>
      <c r="E76" s="24">
        <f>SUM(E5:E65)</f>
        <v>1063411.5300000003</v>
      </c>
      <c r="F76" s="23" t="s">
        <v>78</v>
      </c>
      <c r="G76" s="54">
        <f>SUM(G5:G65)</f>
        <v>436103.38546000008</v>
      </c>
      <c r="H76" s="25"/>
      <c r="I76" s="25"/>
      <c r="J76" s="25">
        <f>SUM(J5:J65)</f>
        <v>5749435.0228000022</v>
      </c>
      <c r="K76" s="25">
        <f>SUM(K5:K65)</f>
        <v>5439579.9585084347</v>
      </c>
      <c r="L76" s="24">
        <f>SUMPRODUCT(L5:L65,G5:G65)/SUM(G5:G65)</f>
        <v>22.917685569576268</v>
      </c>
      <c r="M76" s="55">
        <f>SUM(M5:M65)</f>
        <v>6523264.5114013739</v>
      </c>
      <c r="N76" s="55">
        <f>M76</f>
        <v>6523264.5114013739</v>
      </c>
      <c r="O76" s="56">
        <f>B81</f>
        <v>931291.5</v>
      </c>
      <c r="P76" s="23" t="s">
        <v>78</v>
      </c>
      <c r="Q76" s="25">
        <f>SUM(Q5:Q70)</f>
        <v>2786510.0599999991</v>
      </c>
      <c r="R76" s="25">
        <f>IF(ISERROR(Q76/N76),0,Q76/N76)</f>
        <v>0.42716496550610994</v>
      </c>
      <c r="S76" s="25">
        <f>IF(ISERROR((O76+Q76)/N76),0,(O76+Q76)/N76)</f>
        <v>0.56992960403522175</v>
      </c>
      <c r="T76" s="26">
        <f>IF(VALUE(LEFT($Q76,11))=0,"-",(VLOOKUP(L76,'APP 2885'!$B$10:$G$54,6)*VALUE(LEFT($G76,7)))/(VALUE(LEFT($Q76,11))+$O76))</f>
        <v>2.7765971415201038</v>
      </c>
      <c r="U76" s="25">
        <f t="shared" si="27"/>
        <v>0.83387389074919871</v>
      </c>
      <c r="V76" s="25">
        <f>IF(ISERROR(K76/M76),0,(K76+O76)/M76)</f>
        <v>0.97663852927831052</v>
      </c>
      <c r="W76" s="26">
        <f>IF($Q76=0,"-",(VLOOKUP(L76,'APP 2885'!$B$10:$G$54,4)*$G76)/($K76+$O76))</f>
        <v>1.4730175920129787</v>
      </c>
    </row>
    <row r="77" spans="1:23" ht="30" customHeight="1" thickBot="1" x14ac:dyDescent="0.3">
      <c r="A77" s="27"/>
      <c r="B77" s="28"/>
      <c r="C77" s="28"/>
      <c r="D77" s="28"/>
      <c r="E77" s="28"/>
      <c r="F77" s="28"/>
      <c r="G77" s="28"/>
      <c r="H77" s="28"/>
      <c r="I77" s="28"/>
      <c r="J77" s="28"/>
      <c r="K77" s="92"/>
      <c r="L77" s="28"/>
      <c r="M77" s="28"/>
      <c r="N77" s="28"/>
      <c r="O77" s="28"/>
      <c r="P77" s="28"/>
      <c r="Q77" s="44"/>
      <c r="R77" s="28"/>
      <c r="S77" s="28"/>
      <c r="T77" s="28"/>
      <c r="U77" s="28"/>
      <c r="V77" s="28"/>
      <c r="W77" s="28"/>
    </row>
    <row r="78" spans="1:23" ht="30" customHeight="1" thickBot="1" x14ac:dyDescent="0.3">
      <c r="A78" s="29" t="s">
        <v>79</v>
      </c>
      <c r="B78" s="30">
        <v>3.4000000000000002E-2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46"/>
      <c r="R78" s="28"/>
      <c r="S78" s="28"/>
      <c r="T78" s="28"/>
      <c r="U78" s="28"/>
      <c r="V78" s="28"/>
      <c r="W78" s="28"/>
    </row>
    <row r="79" spans="1:23" ht="30" customHeight="1" thickBot="1" x14ac:dyDescent="0.3">
      <c r="A79" s="29" t="s">
        <v>80</v>
      </c>
      <c r="B79" s="30">
        <v>0.02</v>
      </c>
      <c r="C79" s="28"/>
      <c r="D79" s="49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spans="1:23" ht="30" customHeight="1" thickBot="1" x14ac:dyDescent="0.3">
      <c r="A80" s="29" t="s">
        <v>81</v>
      </c>
      <c r="B80" s="30">
        <v>3.4000000000000002E-2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1:23" ht="30" customHeight="1" thickBot="1" x14ac:dyDescent="0.3">
      <c r="A81" s="29" t="s">
        <v>82</v>
      </c>
      <c r="B81" s="31">
        <v>931291.5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spans="1:23" ht="30" customHeight="1" x14ac:dyDescent="0.25">
      <c r="A82" s="32" t="s">
        <v>78</v>
      </c>
      <c r="B82" s="32" t="s">
        <v>78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120" spans="21:21" x14ac:dyDescent="0.25">
      <c r="U120" s="47"/>
    </row>
    <row r="122" spans="21:21" x14ac:dyDescent="0.25">
      <c r="U122" s="48"/>
    </row>
  </sheetData>
  <autoFilter ref="A4:W82" xr:uid="{00000000-0001-0000-0000-000000000000}"/>
  <mergeCells count="3">
    <mergeCell ref="B1:W1"/>
    <mergeCell ref="B2:W2"/>
    <mergeCell ref="A3:W3"/>
  </mergeCells>
  <phoneticPr fontId="17" type="noConversion"/>
  <pageMargins left="0" right="0" top="0" bottom="0" header="0" footer="0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59"/>
  <sheetViews>
    <sheetView workbookViewId="0">
      <pane ySplit="4" topLeftCell="A5" activePane="bottomLeft" state="frozen"/>
      <selection pane="bottomLeft" activeCell="D43" sqref="D43"/>
    </sheetView>
  </sheetViews>
  <sheetFormatPr defaultRowHeight="15" x14ac:dyDescent="0.25"/>
  <cols>
    <col min="1" max="8" width="13.28515625" customWidth="1"/>
  </cols>
  <sheetData>
    <row r="1" spans="1:8" ht="15" customHeight="1" x14ac:dyDescent="0.25">
      <c r="A1" s="96" t="s">
        <v>83</v>
      </c>
      <c r="B1" s="96"/>
      <c r="C1" s="96"/>
      <c r="D1" s="96"/>
      <c r="E1" s="96"/>
      <c r="F1" s="96"/>
      <c r="G1" s="96"/>
      <c r="H1" s="96"/>
    </row>
    <row r="2" spans="1:8" ht="15" customHeight="1" x14ac:dyDescent="0.25">
      <c r="A2" s="96" t="s">
        <v>84</v>
      </c>
      <c r="B2" s="96"/>
      <c r="C2" s="96"/>
      <c r="D2" s="96"/>
      <c r="E2" s="96"/>
      <c r="F2" s="96"/>
      <c r="G2" s="96"/>
      <c r="H2" s="96"/>
    </row>
    <row r="3" spans="1:8" ht="15" customHeight="1" x14ac:dyDescent="0.25">
      <c r="A3" s="96" t="s">
        <v>85</v>
      </c>
      <c r="B3" s="96"/>
      <c r="C3" s="96"/>
      <c r="D3" s="96"/>
      <c r="E3" s="96"/>
      <c r="F3" s="96"/>
      <c r="G3" s="96"/>
      <c r="H3" s="96"/>
    </row>
    <row r="4" spans="1:8" ht="15" customHeight="1" x14ac:dyDescent="0.25">
      <c r="A4" s="96" t="s">
        <v>86</v>
      </c>
      <c r="B4" s="96"/>
      <c r="C4" s="96"/>
      <c r="D4" s="96"/>
      <c r="E4" s="96"/>
      <c r="F4" s="96"/>
      <c r="G4" s="96"/>
      <c r="H4" s="96"/>
    </row>
    <row r="5" spans="1:8" ht="15" customHeight="1" x14ac:dyDescent="0.25">
      <c r="A5" s="97"/>
      <c r="B5" s="97"/>
      <c r="C5" s="97"/>
      <c r="D5" s="97"/>
      <c r="E5" s="97"/>
      <c r="F5" s="97"/>
      <c r="G5" s="97"/>
      <c r="H5" s="97"/>
    </row>
    <row r="6" spans="1:8" ht="60" customHeight="1" x14ac:dyDescent="0.25">
      <c r="A6" s="33"/>
      <c r="B6" s="34" t="s">
        <v>87</v>
      </c>
      <c r="C6" s="34" t="s">
        <v>88</v>
      </c>
      <c r="D6" s="34" t="s">
        <v>89</v>
      </c>
      <c r="E6" s="34" t="s">
        <v>90</v>
      </c>
      <c r="F6" s="34" t="s">
        <v>91</v>
      </c>
      <c r="G6" s="34" t="s">
        <v>92</v>
      </c>
      <c r="H6" s="34" t="s">
        <v>93</v>
      </c>
    </row>
    <row r="7" spans="1:8" ht="15" customHeight="1" x14ac:dyDescent="0.25">
      <c r="A7" s="33"/>
      <c r="B7" s="34"/>
      <c r="C7" s="34"/>
      <c r="D7" s="34"/>
      <c r="E7" s="34"/>
      <c r="F7" s="34"/>
      <c r="G7" s="34"/>
      <c r="H7" s="34"/>
    </row>
    <row r="8" spans="1:8" ht="15" customHeight="1" x14ac:dyDescent="0.25">
      <c r="A8" s="33"/>
      <c r="B8" s="34"/>
      <c r="C8" s="34"/>
      <c r="D8" s="34"/>
      <c r="E8" s="34"/>
      <c r="F8" s="34"/>
      <c r="G8" s="34"/>
      <c r="H8" s="34"/>
    </row>
    <row r="9" spans="1:8" ht="15" customHeight="1" x14ac:dyDescent="0.25">
      <c r="A9" s="33"/>
      <c r="B9" s="34"/>
      <c r="C9" s="34"/>
      <c r="D9" s="34"/>
      <c r="E9" s="34"/>
      <c r="F9" s="34"/>
      <c r="G9" s="34"/>
      <c r="H9" s="34"/>
    </row>
    <row r="10" spans="1:8" ht="15" customHeight="1" x14ac:dyDescent="0.25">
      <c r="A10" s="35">
        <v>2021</v>
      </c>
      <c r="B10" s="35">
        <v>1</v>
      </c>
      <c r="C10" s="36">
        <v>0.88445163236383117</v>
      </c>
      <c r="D10" s="36">
        <v>0.88445163236383117</v>
      </c>
      <c r="E10" s="36">
        <v>0.88445163236383117</v>
      </c>
      <c r="F10" s="45">
        <v>0.1</v>
      </c>
      <c r="G10" s="37">
        <v>0.97289679560021436</v>
      </c>
      <c r="H10" s="38">
        <v>0.57011051999999995</v>
      </c>
    </row>
    <row r="11" spans="1:8" ht="15" customHeight="1" x14ac:dyDescent="0.25">
      <c r="A11" s="35">
        <v>2022</v>
      </c>
      <c r="B11" s="35">
        <v>2</v>
      </c>
      <c r="C11" s="36">
        <v>0.81371500359565097</v>
      </c>
      <c r="D11" s="36">
        <v>0.84138131371790315</v>
      </c>
      <c r="E11" s="36">
        <v>1.7258329460817343</v>
      </c>
      <c r="F11" s="45">
        <v>0.1</v>
      </c>
      <c r="G11" s="37">
        <v>1.8984162406899079</v>
      </c>
      <c r="H11" s="38">
        <v>0.57615605137735904</v>
      </c>
    </row>
    <row r="12" spans="1:8" ht="15" customHeight="1" x14ac:dyDescent="0.25">
      <c r="A12" s="35">
        <v>2023</v>
      </c>
      <c r="B12" s="35">
        <v>3</v>
      </c>
      <c r="C12" s="36">
        <v>0.76115943272610243</v>
      </c>
      <c r="D12" s="36">
        <v>0.81379817445570879</v>
      </c>
      <c r="E12" s="36">
        <v>2.5396311205374431</v>
      </c>
      <c r="F12" s="45">
        <v>0.1</v>
      </c>
      <c r="G12" s="37">
        <v>2.7935942325911878</v>
      </c>
      <c r="H12" s="38">
        <v>0.58293196065410902</v>
      </c>
    </row>
    <row r="13" spans="1:8" ht="15" customHeight="1" x14ac:dyDescent="0.25">
      <c r="A13" s="35">
        <v>2024</v>
      </c>
      <c r="B13" s="35">
        <v>4</v>
      </c>
      <c r="C13" s="36">
        <v>0.75798388048815024</v>
      </c>
      <c r="D13" s="36">
        <v>0.83795671619391321</v>
      </c>
      <c r="E13" s="36">
        <v>3.3775878367313563</v>
      </c>
      <c r="F13" s="45">
        <v>0.1</v>
      </c>
      <c r="G13" s="37">
        <v>3.715346620404492</v>
      </c>
      <c r="H13" s="38">
        <v>0.58975943021046795</v>
      </c>
    </row>
    <row r="14" spans="1:8" ht="15" customHeight="1" x14ac:dyDescent="0.25">
      <c r="A14" s="39">
        <v>2025</v>
      </c>
      <c r="B14" s="35">
        <v>5</v>
      </c>
      <c r="C14" s="36">
        <v>0.77075836546405829</v>
      </c>
      <c r="D14" s="36">
        <v>0.88104968872936473</v>
      </c>
      <c r="E14" s="36">
        <v>4.2586375254607214</v>
      </c>
      <c r="F14" s="45">
        <v>0.1</v>
      </c>
      <c r="G14" s="37">
        <v>4.6845012780067936</v>
      </c>
      <c r="H14" s="38">
        <v>0.61455510299969196</v>
      </c>
    </row>
    <row r="15" spans="1:8" ht="15" customHeight="1" x14ac:dyDescent="0.25">
      <c r="A15" s="35">
        <v>2026</v>
      </c>
      <c r="B15" s="35">
        <v>6</v>
      </c>
      <c r="C15" s="36">
        <v>0.76378755722747937</v>
      </c>
      <c r="D15" s="36">
        <v>0.90276616326625003</v>
      </c>
      <c r="E15" s="36">
        <v>5.1614036887269714</v>
      </c>
      <c r="F15" s="45">
        <v>0.1</v>
      </c>
      <c r="G15" s="37">
        <v>5.6775440575996692</v>
      </c>
      <c r="H15" s="38">
        <v>0.629247118316003</v>
      </c>
    </row>
    <row r="16" spans="1:8" ht="15" customHeight="1" x14ac:dyDescent="0.25">
      <c r="A16" s="35">
        <v>2027</v>
      </c>
      <c r="B16" s="35">
        <v>7</v>
      </c>
      <c r="C16" s="36">
        <v>0.74933499617350652</v>
      </c>
      <c r="D16" s="36">
        <v>0.91579706736600974</v>
      </c>
      <c r="E16" s="36">
        <v>6.0772007560929815</v>
      </c>
      <c r="F16" s="45">
        <v>0.1</v>
      </c>
      <c r="G16" s="37">
        <v>6.6849208317022804</v>
      </c>
      <c r="H16" s="38">
        <v>0.64174689766763904</v>
      </c>
    </row>
    <row r="17" spans="1:8" ht="15" customHeight="1" x14ac:dyDescent="0.25">
      <c r="A17" s="35">
        <v>2028</v>
      </c>
      <c r="B17" s="35">
        <v>8</v>
      </c>
      <c r="C17" s="36">
        <v>0.72707320786116503</v>
      </c>
      <c r="D17" s="36">
        <v>0.91880195964036115</v>
      </c>
      <c r="E17" s="36">
        <v>6.9960027157333426</v>
      </c>
      <c r="F17" s="45">
        <v>0.1</v>
      </c>
      <c r="G17" s="37">
        <v>7.6956029873066774</v>
      </c>
      <c r="H17" s="38">
        <v>0.65668675188056402</v>
      </c>
    </row>
    <row r="18" spans="1:8" ht="15" customHeight="1" x14ac:dyDescent="0.25">
      <c r="A18" s="35">
        <v>2029</v>
      </c>
      <c r="B18" s="35">
        <v>9</v>
      </c>
      <c r="C18" s="36">
        <v>0.7149322508405066</v>
      </c>
      <c r="D18" s="36">
        <v>0.93417706077384166</v>
      </c>
      <c r="E18" s="36">
        <v>7.9301797765071846</v>
      </c>
      <c r="F18" s="45">
        <v>0.1</v>
      </c>
      <c r="G18" s="37">
        <v>8.7231977541579031</v>
      </c>
      <c r="H18" s="38">
        <v>0.671362515855918</v>
      </c>
    </row>
    <row r="19" spans="1:8" ht="15" customHeight="1" x14ac:dyDescent="0.25">
      <c r="A19" s="39">
        <v>2030</v>
      </c>
      <c r="B19" s="35">
        <v>10</v>
      </c>
      <c r="C19" s="36">
        <v>0.70356791294168164</v>
      </c>
      <c r="D19" s="36">
        <v>0.95058481742366419</v>
      </c>
      <c r="E19" s="36">
        <v>8.8807645939308486</v>
      </c>
      <c r="F19" s="45">
        <v>0.1</v>
      </c>
      <c r="G19" s="37">
        <v>9.7688410533239338</v>
      </c>
      <c r="H19" s="38">
        <v>0.70168753835864495</v>
      </c>
    </row>
    <row r="20" spans="1:8" ht="15" customHeight="1" x14ac:dyDescent="0.25">
      <c r="A20" s="35">
        <v>2031</v>
      </c>
      <c r="B20" s="35">
        <v>11</v>
      </c>
      <c r="C20" s="36">
        <v>0.6851545172570157</v>
      </c>
      <c r="D20" s="36">
        <v>0.95718065546171105</v>
      </c>
      <c r="E20" s="36">
        <v>9.8379452493925594</v>
      </c>
      <c r="F20" s="45">
        <v>0.1</v>
      </c>
      <c r="G20" s="37">
        <v>10.821739774331816</v>
      </c>
      <c r="H20" s="38">
        <v>0.71753017552309395</v>
      </c>
    </row>
    <row r="21" spans="1:8" ht="15" customHeight="1" x14ac:dyDescent="0.25">
      <c r="A21" s="35">
        <v>2032</v>
      </c>
      <c r="B21" s="35">
        <v>12</v>
      </c>
      <c r="C21" s="36">
        <v>0.67625670713780228</v>
      </c>
      <c r="D21" s="36">
        <v>0.97687166301819628</v>
      </c>
      <c r="E21" s="36">
        <v>10.814816912410755</v>
      </c>
      <c r="F21" s="45">
        <v>0.1</v>
      </c>
      <c r="G21" s="37">
        <v>11.896298603651832</v>
      </c>
      <c r="H21" s="38">
        <v>0.73540219867662504</v>
      </c>
    </row>
    <row r="22" spans="1:8" ht="15" customHeight="1" x14ac:dyDescent="0.25">
      <c r="A22" s="35">
        <v>2033</v>
      </c>
      <c r="B22" s="35">
        <v>13</v>
      </c>
      <c r="C22" s="36">
        <v>0.66587008865652375</v>
      </c>
      <c r="D22" s="36">
        <v>0.99457141181766762</v>
      </c>
      <c r="E22" s="36">
        <v>11.809388324228422</v>
      </c>
      <c r="F22" s="45">
        <v>0.1</v>
      </c>
      <c r="G22" s="37">
        <v>12.990327156651265</v>
      </c>
      <c r="H22" s="38">
        <v>0.75283800222888697</v>
      </c>
    </row>
    <row r="23" spans="1:8" ht="15" customHeight="1" x14ac:dyDescent="0.25">
      <c r="A23" s="35">
        <v>2034</v>
      </c>
      <c r="B23" s="35">
        <v>14</v>
      </c>
      <c r="C23" s="36">
        <v>0.64881311732878166</v>
      </c>
      <c r="D23" s="36">
        <v>1.0020436159092017</v>
      </c>
      <c r="E23" s="36">
        <v>12.811431940137624</v>
      </c>
      <c r="F23" s="45">
        <v>0.1</v>
      </c>
      <c r="G23" s="37">
        <v>14.092575134151387</v>
      </c>
      <c r="H23" s="38">
        <v>0.77211629283704597</v>
      </c>
    </row>
    <row r="24" spans="1:8" ht="15" customHeight="1" x14ac:dyDescent="0.25">
      <c r="A24" s="35">
        <v>2035</v>
      </c>
      <c r="B24" s="35">
        <v>15</v>
      </c>
      <c r="C24" s="36">
        <v>0.63835970106897866</v>
      </c>
      <c r="D24" s="36">
        <v>1.0194196609012849</v>
      </c>
      <c r="E24" s="36">
        <v>13.830851601038908</v>
      </c>
      <c r="F24" s="45">
        <v>0.1</v>
      </c>
      <c r="G24" s="37">
        <v>15.213936761142801</v>
      </c>
      <c r="H24" s="38">
        <v>0.81064038086745605</v>
      </c>
    </row>
    <row r="25" spans="1:8" ht="15" customHeight="1" x14ac:dyDescent="0.25">
      <c r="A25" s="35">
        <v>2036</v>
      </c>
      <c r="B25" s="35">
        <v>16</v>
      </c>
      <c r="C25" s="36">
        <v>0.62567375799839731</v>
      </c>
      <c r="D25" s="36">
        <v>1.0331324949498273</v>
      </c>
      <c r="E25" s="36">
        <v>14.863984095988735</v>
      </c>
      <c r="F25" s="45">
        <v>0.1</v>
      </c>
      <c r="G25" s="37">
        <v>16.350382505587611</v>
      </c>
      <c r="H25" s="38">
        <v>0.83101695530386399</v>
      </c>
    </row>
    <row r="26" spans="1:8" ht="15" customHeight="1" x14ac:dyDescent="0.25">
      <c r="A26" s="35">
        <v>2037</v>
      </c>
      <c r="B26" s="35">
        <v>17</v>
      </c>
      <c r="C26" s="36">
        <v>0.61894833994618093</v>
      </c>
      <c r="D26" s="36">
        <v>1.0567761970079774</v>
      </c>
      <c r="E26" s="36">
        <v>15.920760292996713</v>
      </c>
      <c r="F26" s="45">
        <v>0.1</v>
      </c>
      <c r="G26" s="37">
        <v>17.512836322296387</v>
      </c>
      <c r="H26" s="38">
        <v>0.85329665766642104</v>
      </c>
    </row>
    <row r="27" spans="1:8" ht="15" customHeight="1" x14ac:dyDescent="0.25">
      <c r="A27" s="35">
        <v>2038</v>
      </c>
      <c r="B27" s="35">
        <v>18</v>
      </c>
      <c r="C27" s="36">
        <v>0.61107179398866485</v>
      </c>
      <c r="D27" s="36">
        <v>1.078801140190391</v>
      </c>
      <c r="E27" s="36">
        <v>16.999561433187104</v>
      </c>
      <c r="F27" s="45">
        <v>0.1</v>
      </c>
      <c r="G27" s="37">
        <v>18.699517576505816</v>
      </c>
      <c r="H27" s="38">
        <v>0.87508084147130905</v>
      </c>
    </row>
    <row r="28" spans="1:8" ht="15" customHeight="1" x14ac:dyDescent="0.25">
      <c r="A28" s="35">
        <v>2039</v>
      </c>
      <c r="B28" s="35">
        <v>19</v>
      </c>
      <c r="C28" s="36">
        <v>0.60374811403143069</v>
      </c>
      <c r="D28" s="36">
        <v>1.1021113748980613</v>
      </c>
      <c r="E28" s="36">
        <v>18.101672808085166</v>
      </c>
      <c r="F28" s="45">
        <v>0.1</v>
      </c>
      <c r="G28" s="37">
        <v>19.911840088893683</v>
      </c>
      <c r="H28" s="38">
        <v>0.897067740402681</v>
      </c>
    </row>
    <row r="29" spans="1:8" ht="15" customHeight="1" x14ac:dyDescent="0.25">
      <c r="A29" s="39">
        <v>2040</v>
      </c>
      <c r="B29" s="35">
        <v>20</v>
      </c>
      <c r="C29" s="36">
        <v>0.59154544035996659</v>
      </c>
      <c r="D29" s="36">
        <v>1.1165504413430951</v>
      </c>
      <c r="E29" s="36">
        <v>19.218223249428259</v>
      </c>
      <c r="F29" s="45">
        <v>0.1</v>
      </c>
      <c r="G29" s="37">
        <v>21.140045574371086</v>
      </c>
      <c r="H29" s="38">
        <v>0.91930355234543903</v>
      </c>
    </row>
    <row r="30" spans="1:8" ht="15" customHeight="1" x14ac:dyDescent="0.25">
      <c r="A30" s="35">
        <v>2041</v>
      </c>
      <c r="B30" s="35">
        <v>21</v>
      </c>
      <c r="C30" s="36">
        <v>0.58353612105141783</v>
      </c>
      <c r="D30" s="36">
        <v>1.1388814501699571</v>
      </c>
      <c r="E30" s="36">
        <v>20.357104699598217</v>
      </c>
      <c r="F30" s="45">
        <v>0.1</v>
      </c>
      <c r="G30" s="37">
        <v>22.392815169558041</v>
      </c>
      <c r="H30" s="38">
        <v>0.96256067436903203</v>
      </c>
    </row>
    <row r="31" spans="1:8" ht="15" customHeight="1" x14ac:dyDescent="0.25">
      <c r="A31" s="35">
        <v>2042</v>
      </c>
      <c r="B31" s="35">
        <v>22</v>
      </c>
      <c r="C31" s="36">
        <v>0.57563524513776232</v>
      </c>
      <c r="D31" s="36">
        <v>1.1616590791733563</v>
      </c>
      <c r="E31" s="36">
        <v>21.518763778771575</v>
      </c>
      <c r="F31" s="45">
        <v>0.1</v>
      </c>
      <c r="G31" s="37">
        <v>23.670640156648734</v>
      </c>
      <c r="H31" s="38">
        <v>0.98552212265613304</v>
      </c>
    </row>
    <row r="32" spans="1:8" ht="15" customHeight="1" x14ac:dyDescent="0.25">
      <c r="A32" s="35">
        <v>2043</v>
      </c>
      <c r="B32" s="35">
        <v>23</v>
      </c>
      <c r="C32" s="36">
        <v>0.56784134433318922</v>
      </c>
      <c r="D32" s="36">
        <v>1.1848922607568235</v>
      </c>
      <c r="E32" s="36">
        <v>22.703656039528397</v>
      </c>
      <c r="F32" s="45">
        <v>0.1</v>
      </c>
      <c r="G32" s="37">
        <v>24.97402164348124</v>
      </c>
      <c r="H32" s="38">
        <v>1.0086464310452701</v>
      </c>
    </row>
    <row r="33" spans="1:8" ht="15" customHeight="1" x14ac:dyDescent="0.25">
      <c r="A33" s="35">
        <v>2044</v>
      </c>
      <c r="B33" s="35">
        <v>24</v>
      </c>
      <c r="C33" s="36">
        <v>0.56015297023196597</v>
      </c>
      <c r="D33" s="36">
        <v>1.2085901059719599</v>
      </c>
      <c r="E33" s="36">
        <v>23.912246145500358</v>
      </c>
      <c r="F33" s="45">
        <v>0.1</v>
      </c>
      <c r="G33" s="37">
        <v>26.303470760050395</v>
      </c>
      <c r="H33" s="38">
        <v>1.03195880055061</v>
      </c>
    </row>
    <row r="34" spans="1:8" ht="15" customHeight="1" x14ac:dyDescent="0.25">
      <c r="A34" s="35">
        <v>2045</v>
      </c>
      <c r="B34" s="35">
        <v>25</v>
      </c>
      <c r="C34" s="36">
        <v>0.55256869403927023</v>
      </c>
      <c r="D34" s="36">
        <v>1.2327619080913992</v>
      </c>
      <c r="E34" s="36">
        <v>25.145008053591756</v>
      </c>
      <c r="F34" s="45">
        <v>0.1</v>
      </c>
      <c r="G34" s="37">
        <v>27.659508858950932</v>
      </c>
      <c r="H34" s="38">
        <v>1.0554809412422199</v>
      </c>
    </row>
    <row r="35" spans="1:8" ht="15" customHeight="1" x14ac:dyDescent="0.25">
      <c r="A35" s="35">
        <v>2046</v>
      </c>
      <c r="B35" s="35">
        <v>26</v>
      </c>
      <c r="C35" s="36">
        <v>0.54508710630566315</v>
      </c>
      <c r="D35" s="36">
        <v>1.2574171462532271</v>
      </c>
      <c r="E35" s="36">
        <v>26.402425199844984</v>
      </c>
      <c r="F35" s="45">
        <v>0.1</v>
      </c>
      <c r="G35" s="37">
        <v>29.042667719829485</v>
      </c>
      <c r="H35" s="38">
        <v>1.1026933043184499</v>
      </c>
    </row>
    <row r="36" spans="1:8" ht="15" customHeight="1" x14ac:dyDescent="0.25">
      <c r="A36" s="35">
        <v>2047</v>
      </c>
      <c r="B36" s="35">
        <v>27</v>
      </c>
      <c r="C36" s="36">
        <v>0.53770681666516085</v>
      </c>
      <c r="D36" s="36">
        <v>1.2825654891782916</v>
      </c>
      <c r="E36" s="36">
        <v>27.684990689023277</v>
      </c>
      <c r="F36" s="45">
        <v>0.1</v>
      </c>
      <c r="G36" s="37">
        <v>30.453489757925606</v>
      </c>
      <c r="H36" s="38">
        <v>1.1272110200121499</v>
      </c>
    </row>
    <row r="37" spans="1:8" ht="15" customHeight="1" x14ac:dyDescent="0.25">
      <c r="A37" s="35">
        <v>2048</v>
      </c>
      <c r="B37" s="35">
        <v>28</v>
      </c>
      <c r="C37" s="36">
        <v>0.53042645357685103</v>
      </c>
      <c r="D37" s="36">
        <v>1.3082167989618574</v>
      </c>
      <c r="E37" s="36">
        <v>28.993207487985135</v>
      </c>
      <c r="F37" s="45">
        <v>0.1</v>
      </c>
      <c r="G37" s="37">
        <v>31.892528236783651</v>
      </c>
      <c r="H37" s="38">
        <v>1.1519943575740099</v>
      </c>
    </row>
    <row r="38" spans="1:8" ht="15" customHeight="1" x14ac:dyDescent="0.25">
      <c r="A38" s="35">
        <v>2049</v>
      </c>
      <c r="B38" s="35">
        <v>29</v>
      </c>
      <c r="C38" s="36">
        <v>0.52324466407000791</v>
      </c>
      <c r="D38" s="36">
        <v>1.3343811349410946</v>
      </c>
      <c r="E38" s="36">
        <v>30.327588622926228</v>
      </c>
      <c r="F38" s="45">
        <v>0.1</v>
      </c>
      <c r="G38" s="37">
        <v>33.360347485218853</v>
      </c>
      <c r="H38" s="38">
        <v>1.1770567561259799</v>
      </c>
    </row>
    <row r="39" spans="1:8" ht="15" customHeight="1" x14ac:dyDescent="0.25">
      <c r="A39" s="39">
        <v>2050</v>
      </c>
      <c r="B39" s="35">
        <v>30</v>
      </c>
      <c r="C39" s="36">
        <v>0.51616011349265778</v>
      </c>
      <c r="D39" s="36">
        <v>1.3610687576399165</v>
      </c>
      <c r="E39" s="36">
        <v>31.688657380566145</v>
      </c>
      <c r="F39" s="45">
        <v>0.1</v>
      </c>
      <c r="G39" s="37">
        <v>34.857523118622765</v>
      </c>
      <c r="H39" s="38">
        <v>1.2024103291102399</v>
      </c>
    </row>
    <row r="40" spans="1:8" ht="15" customHeight="1" x14ac:dyDescent="0.25">
      <c r="A40" s="35">
        <v>2051</v>
      </c>
      <c r="B40" s="35">
        <v>31</v>
      </c>
      <c r="C40" s="36">
        <v>0.50917148526355016</v>
      </c>
      <c r="D40" s="36">
        <v>1.3882901327927148</v>
      </c>
      <c r="E40" s="36">
        <v>33.07694751335886</v>
      </c>
      <c r="F40" s="45">
        <v>0.1</v>
      </c>
      <c r="G40" s="37">
        <v>36.384642264694747</v>
      </c>
      <c r="H40" s="38">
        <v>1.2541951448828901</v>
      </c>
    </row>
    <row r="41" spans="1:8" ht="15" customHeight="1" x14ac:dyDescent="0.25">
      <c r="A41" s="35">
        <v>2052</v>
      </c>
      <c r="B41" s="35">
        <v>32</v>
      </c>
      <c r="C41" s="36">
        <v>0.50227748062748667</v>
      </c>
      <c r="D41" s="36">
        <v>1.4160559354485691</v>
      </c>
      <c r="E41" s="36">
        <v>34.493003448807428</v>
      </c>
      <c r="F41" s="45">
        <v>0.1</v>
      </c>
      <c r="G41" s="37">
        <v>37.942303793688176</v>
      </c>
      <c r="H41" s="38">
        <v>1.2807156499932999</v>
      </c>
    </row>
    <row r="42" spans="1:8" ht="15" customHeight="1" x14ac:dyDescent="0.25">
      <c r="A42" s="35">
        <v>2053</v>
      </c>
      <c r="B42" s="35">
        <v>33</v>
      </c>
      <c r="C42" s="36">
        <v>0.49547681841396168</v>
      </c>
      <c r="D42" s="36">
        <v>1.4443770541575405</v>
      </c>
      <c r="E42" s="36">
        <v>35.93738050296497</v>
      </c>
      <c r="F42" s="45">
        <v>0.1</v>
      </c>
      <c r="G42" s="37">
        <v>39.531118553261472</v>
      </c>
      <c r="H42" s="38">
        <v>1.30756451467569</v>
      </c>
    </row>
    <row r="43" spans="1:8" ht="15" customHeight="1" x14ac:dyDescent="0.25">
      <c r="A43" s="35">
        <v>2054</v>
      </c>
      <c r="B43" s="35">
        <v>34</v>
      </c>
      <c r="C43" s="36">
        <v>0.48876823479907244</v>
      </c>
      <c r="D43" s="36">
        <v>1.4732645952406913</v>
      </c>
      <c r="E43" s="36">
        <v>37.410645098205663</v>
      </c>
      <c r="F43" s="45">
        <v>0.1</v>
      </c>
      <c r="G43" s="37">
        <v>41.151709608026231</v>
      </c>
      <c r="H43" s="38">
        <v>1.33475052162326</v>
      </c>
    </row>
    <row r="44" spans="1:8" ht="15" customHeight="1" x14ac:dyDescent="0.25">
      <c r="A44" s="35">
        <v>2055</v>
      </c>
      <c r="B44" s="35">
        <v>35</v>
      </c>
      <c r="C44" s="36">
        <v>0.48215048307065178</v>
      </c>
      <c r="D44" s="36">
        <v>1.5027298871455053</v>
      </c>
      <c r="E44" s="36">
        <v>38.913374985351169</v>
      </c>
      <c r="F44" s="45">
        <v>0.1</v>
      </c>
      <c r="G44" s="37">
        <v>42.804712483886291</v>
      </c>
      <c r="H44" s="38">
        <v>1.3622818643825101</v>
      </c>
    </row>
    <row r="45" spans="1:8" ht="15" customHeight="1" x14ac:dyDescent="0.25">
      <c r="A45" s="35">
        <v>2056</v>
      </c>
      <c r="B45" s="35">
        <v>36</v>
      </c>
      <c r="C45" s="36">
        <v>0.47562233339658105</v>
      </c>
      <c r="D45" s="36">
        <v>1.5327844848884153</v>
      </c>
      <c r="E45" s="36">
        <v>40.446159470239586</v>
      </c>
      <c r="F45" s="45">
        <v>0.1</v>
      </c>
      <c r="G45" s="37">
        <v>44.490775417263549</v>
      </c>
      <c r="H45" s="38">
        <v>1.3901662306967699</v>
      </c>
    </row>
    <row r="46" spans="1:8" ht="15" customHeight="1" x14ac:dyDescent="0.25">
      <c r="A46" s="35">
        <v>2057</v>
      </c>
      <c r="B46" s="35">
        <v>37</v>
      </c>
      <c r="C46" s="36">
        <v>0.46918257259624058</v>
      </c>
      <c r="D46" s="36">
        <v>1.5634401745861837</v>
      </c>
      <c r="E46" s="36">
        <v>42.009599644825769</v>
      </c>
      <c r="F46" s="45">
        <v>0.1</v>
      </c>
      <c r="G46" s="37">
        <v>46.210559609308348</v>
      </c>
      <c r="H46" s="38">
        <v>1.41841087242749</v>
      </c>
    </row>
    <row r="47" spans="1:8" ht="15" customHeight="1" x14ac:dyDescent="0.25">
      <c r="A47" s="35">
        <v>2058</v>
      </c>
      <c r="B47" s="35">
        <v>38</v>
      </c>
      <c r="C47" s="36">
        <v>0.46283000391505358</v>
      </c>
      <c r="D47" s="36">
        <v>1.5947089780779073</v>
      </c>
      <c r="E47" s="36">
        <v>43.604308622903673</v>
      </c>
      <c r="F47" s="45">
        <v>0.1</v>
      </c>
      <c r="G47" s="37">
        <v>47.964739485194045</v>
      </c>
      <c r="H47" s="38">
        <v>1.4470226645295901</v>
      </c>
    </row>
    <row r="48" spans="1:8" ht="15" customHeight="1" x14ac:dyDescent="0.25">
      <c r="A48" s="35">
        <v>2059</v>
      </c>
      <c r="B48" s="35">
        <v>39</v>
      </c>
      <c r="C48" s="36">
        <v>0.45656344680208383</v>
      </c>
      <c r="D48" s="36">
        <v>1.6266031576394655</v>
      </c>
      <c r="E48" s="36">
        <v>45.230911780543138</v>
      </c>
      <c r="F48" s="45">
        <v>0.1</v>
      </c>
      <c r="G48" s="37">
        <v>49.754002958597454</v>
      </c>
      <c r="H48" s="38">
        <v>1.4760081550492099</v>
      </c>
    </row>
    <row r="49" spans="1:8" ht="15" customHeight="1" x14ac:dyDescent="0.25">
      <c r="A49" s="39">
        <v>2060</v>
      </c>
      <c r="B49" s="35">
        <v>40</v>
      </c>
      <c r="C49" s="36">
        <v>0.45038173669064363</v>
      </c>
      <c r="D49" s="36">
        <v>1.6591352207922549</v>
      </c>
      <c r="E49" s="36">
        <v>46.890047001335397</v>
      </c>
      <c r="F49" s="45">
        <v>0.1</v>
      </c>
      <c r="G49" s="37">
        <v>51.579051701468941</v>
      </c>
      <c r="H49" s="38">
        <v>1.5053736077183399</v>
      </c>
    </row>
    <row r="50" spans="1:8" ht="15" customHeight="1" x14ac:dyDescent="0.25">
      <c r="A50" s="35">
        <v>2061</v>
      </c>
      <c r="B50" s="35">
        <v>41</v>
      </c>
      <c r="C50" s="36">
        <v>0.44428372478187284</v>
      </c>
      <c r="D50" s="36">
        <v>1.6923179252081</v>
      </c>
      <c r="E50" s="36">
        <v>48.582364926543498</v>
      </c>
      <c r="F50" s="45">
        <v>0.1</v>
      </c>
      <c r="G50" s="37">
        <v>53.440601419197854</v>
      </c>
      <c r="H50" s="38">
        <v>1.53512503841349</v>
      </c>
    </row>
    <row r="51" spans="1:8" ht="15" customHeight="1" x14ac:dyDescent="0.25">
      <c r="A51" s="35">
        <v>2062</v>
      </c>
      <c r="B51" s="35">
        <v>42</v>
      </c>
      <c r="C51" s="36">
        <v>0.43826827783124789</v>
      </c>
      <c r="D51" s="36">
        <v>1.7261642837122619</v>
      </c>
      <c r="E51" s="36">
        <v>50.308529210255763</v>
      </c>
      <c r="F51" s="45">
        <v>0.1</v>
      </c>
      <c r="G51" s="37">
        <v>55.339382131281347</v>
      </c>
      <c r="H51" s="38">
        <v>1.5652682465040999</v>
      </c>
    </row>
    <row r="52" spans="1:8" ht="15" customHeight="1" x14ac:dyDescent="0.25">
      <c r="A52" s="35">
        <v>2063</v>
      </c>
      <c r="B52" s="35">
        <v>43</v>
      </c>
      <c r="C52" s="36">
        <v>0.43233427793798146</v>
      </c>
      <c r="D52" s="36">
        <v>1.7606875693865072</v>
      </c>
      <c r="E52" s="36">
        <v>52.069216779642268</v>
      </c>
      <c r="F52" s="45">
        <v>0.1</v>
      </c>
      <c r="G52" s="37">
        <v>57.2761384576065</v>
      </c>
      <c r="H52" s="38">
        <v>1.5958088419255401</v>
      </c>
    </row>
    <row r="53" spans="1:8" ht="15" customHeight="1" x14ac:dyDescent="0.25">
      <c r="A53" s="35">
        <v>2064</v>
      </c>
      <c r="B53" s="35">
        <v>44</v>
      </c>
      <c r="C53" s="36">
        <v>0.42648062233727368</v>
      </c>
      <c r="D53" s="36">
        <v>1.7959013207742374</v>
      </c>
      <c r="E53" s="36">
        <v>53.865118100416503</v>
      </c>
      <c r="F53" s="45">
        <v>0.1</v>
      </c>
      <c r="G53" s="37">
        <v>59.251629910458156</v>
      </c>
      <c r="H53" s="38">
        <v>1.62675226865943</v>
      </c>
    </row>
    <row r="54" spans="1:8" ht="15" customHeight="1" x14ac:dyDescent="0.25">
      <c r="A54" s="35">
        <v>2065</v>
      </c>
      <c r="B54" s="35">
        <v>45</v>
      </c>
      <c r="C54" s="36">
        <v>0.42070622319537654</v>
      </c>
      <c r="D54" s="36">
        <v>1.8318193471897222</v>
      </c>
      <c r="E54" s="36">
        <v>55.696937447606224</v>
      </c>
      <c r="F54" s="45">
        <v>0.1</v>
      </c>
      <c r="G54" s="37">
        <v>61.266631192366852</v>
      </c>
      <c r="H54" s="38">
        <v>1.65810382518273</v>
      </c>
    </row>
    <row r="55" spans="1:8" ht="15" customHeight="1" x14ac:dyDescent="0.25">
      <c r="A55" s="101"/>
      <c r="B55" s="101"/>
      <c r="C55" s="101"/>
      <c r="D55" s="101"/>
      <c r="E55" s="101"/>
      <c r="F55" s="101"/>
      <c r="G55" s="101"/>
      <c r="H55" s="101"/>
    </row>
    <row r="56" spans="1:8" ht="15" customHeight="1" x14ac:dyDescent="0.25">
      <c r="A56" s="40"/>
      <c r="B56" s="98" t="s">
        <v>94</v>
      </c>
      <c r="C56" s="98"/>
      <c r="D56" s="98"/>
      <c r="E56" s="41">
        <v>3.4000000000000002E-2</v>
      </c>
      <c r="F56" s="99"/>
      <c r="G56" s="99"/>
      <c r="H56" s="99"/>
    </row>
    <row r="57" spans="1:8" ht="15" customHeight="1" x14ac:dyDescent="0.25">
      <c r="A57" s="40"/>
      <c r="B57" s="98" t="s">
        <v>95</v>
      </c>
      <c r="C57" s="98"/>
      <c r="D57" s="98"/>
      <c r="E57" s="41">
        <v>3.4000000000000002E-2</v>
      </c>
      <c r="F57" s="99"/>
      <c r="G57" s="99"/>
      <c r="H57" s="99"/>
    </row>
    <row r="58" spans="1:8" ht="15" customHeight="1" x14ac:dyDescent="0.25">
      <c r="A58" s="40"/>
      <c r="B58" s="98" t="s">
        <v>96</v>
      </c>
      <c r="C58" s="98"/>
      <c r="D58" s="98"/>
      <c r="E58" s="41">
        <v>4.1700000000000001E-2</v>
      </c>
      <c r="F58" s="99"/>
      <c r="G58" s="99"/>
      <c r="H58" s="99"/>
    </row>
    <row r="59" spans="1:8" ht="15" customHeight="1" x14ac:dyDescent="0.25">
      <c r="A59" s="40"/>
      <c r="B59" s="98" t="s">
        <v>97</v>
      </c>
      <c r="C59" s="98"/>
      <c r="D59" s="98"/>
      <c r="E59" s="41">
        <v>0.02</v>
      </c>
      <c r="F59" s="100" t="s">
        <v>98</v>
      </c>
      <c r="G59" s="100"/>
      <c r="H59" s="100"/>
    </row>
  </sheetData>
  <mergeCells count="14">
    <mergeCell ref="B58:D58"/>
    <mergeCell ref="F58:H58"/>
    <mergeCell ref="B59:D59"/>
    <mergeCell ref="F59:H59"/>
    <mergeCell ref="A55:H55"/>
    <mergeCell ref="B56:D56"/>
    <mergeCell ref="F56:H56"/>
    <mergeCell ref="B57:D57"/>
    <mergeCell ref="F57:H57"/>
    <mergeCell ref="A1:H1"/>
    <mergeCell ref="A2:H2"/>
    <mergeCell ref="A3:H3"/>
    <mergeCell ref="A4:H4"/>
    <mergeCell ref="A5:H5"/>
  </mergeCells>
  <pageMargins left="0" right="0" top="0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First Year</vt:lpstr>
      <vt:lpstr>APP 2885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2022-03-17T20:56:58Z</dcterms:created>
  <dcterms:modified xsi:type="dcterms:W3CDTF">2022-04-20T00:44:48Z</dcterms:modified>
</cp:coreProperties>
</file>