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ngc-sea-fp1\Data\Dept\Rates\ENERGY EFFICIENCY\ANNUAL REPORTING\Annual Report 2021\Work Papers_Master Copies\"/>
    </mc:Choice>
  </mc:AlternateContent>
  <xr:revisionPtr revIDLastSave="0" documentId="13_ncr:1_{44796E42-56CB-43A6-836A-E880E74CF434}" xr6:coauthVersionLast="47" xr6:coauthVersionMax="47" xr10:uidLastSave="{00000000-0000-0000-0000-000000000000}"/>
  <bookViews>
    <workbookView xWindow="-120" yWindow="-120" windowWidth="51840" windowHeight="21240" tabRatio="929" xr2:uid="{00000000-000D-0000-FFFF-FFFF00000000}"/>
  </bookViews>
  <sheets>
    <sheet name="2021 TOTAL 1ST YEAR by MEASURE" sheetId="30" r:id="rId1"/>
    <sheet name="2021 WA LIW ACTUALS" sheetId="31" r:id="rId2"/>
    <sheet name="APP 2885" sheetId="24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'2021 WA LIW ACTUALS'!$BC$7:$BD$43</definedName>
    <definedName name="AC" localSheetId="1">'[5]APP 2885'!$B$10:$H$54</definedName>
    <definedName name="AC">'APP 2885'!$B$10:$H$54</definedName>
    <definedName name="Case_Flag" localSheetId="1">#REF!</definedName>
    <definedName name="Case_Flag">#REF!</definedName>
    <definedName name="Cons_Type_Flag" localSheetId="1">#REF!</definedName>
    <definedName name="Cons_Type_Flag">#REF!</definedName>
    <definedName name="ConstType" localSheetId="1">#REF!</definedName>
    <definedName name="ConstType">#REF!</definedName>
    <definedName name="CostPerMeasure" localSheetId="1">#REF!</definedName>
    <definedName name="CostPerMeasure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 localSheetId="1">#REF!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IbyJOB" localSheetId="1">#REF!</definedName>
    <definedName name="LIbyJOB">#REF!</definedName>
    <definedName name="LTdiscount">'[3]Rates&amp;NEB'!$B$9</definedName>
    <definedName name="MeasureSize" localSheetId="1">#REF!</definedName>
    <definedName name="MeasureSize">#REF!</definedName>
    <definedName name="NEPercentage">'[3]Rates&amp;NEB'!$B$13</definedName>
    <definedName name="NomInt">'[3]Rates&amp;NEB'!$B$5</definedName>
    <definedName name="OffsetAnchor" localSheetId="1">#REF!</definedName>
    <definedName name="OffsetAnchor">#REF!</definedName>
    <definedName name="Raw_results" localSheetId="1">#REF!</definedName>
    <definedName name="Raw_results">#REF!</definedName>
    <definedName name="Sector" localSheetId="1">#REF!</definedName>
    <definedName name="Sector">#REF!</definedName>
    <definedName name="soff" localSheetId="1">#REF!</definedName>
    <definedName name="soff">#REF!</definedName>
    <definedName name="SSMeasures">[4]Sheet4!$A$5:$G$115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46" i="31" l="1"/>
  <c r="AR46" i="31"/>
  <c r="AO46" i="31"/>
  <c r="AL46" i="31"/>
  <c r="AI46" i="31"/>
  <c r="AF46" i="31"/>
  <c r="AC46" i="31"/>
  <c r="Z46" i="31"/>
  <c r="W46" i="31"/>
  <c r="T46" i="31"/>
  <c r="Q46" i="31"/>
  <c r="N46" i="31"/>
  <c r="K46" i="31"/>
  <c r="H46" i="31"/>
  <c r="F46" i="31" s="1"/>
  <c r="BE45" i="31"/>
  <c r="BD45" i="31"/>
  <c r="BC45" i="31"/>
  <c r="BB45" i="31"/>
  <c r="BA45" i="31"/>
  <c r="AZ45" i="31"/>
  <c r="AY45" i="31"/>
  <c r="AX45" i="31"/>
  <c r="AC45" i="31"/>
  <c r="BE44" i="31"/>
  <c r="BB44" i="31"/>
  <c r="AW44" i="31"/>
  <c r="AV44" i="31"/>
  <c r="AU44" i="31"/>
  <c r="AU45" i="31" s="1"/>
  <c r="AT44" i="31"/>
  <c r="AS44" i="31"/>
  <c r="AR44" i="31"/>
  <c r="AR45" i="31" s="1"/>
  <c r="AQ44" i="31"/>
  <c r="AP44" i="31"/>
  <c r="AO44" i="31"/>
  <c r="AO45" i="31" s="1"/>
  <c r="AN44" i="31"/>
  <c r="AM44" i="31"/>
  <c r="AL44" i="31"/>
  <c r="AL45" i="31" s="1"/>
  <c r="AK44" i="31"/>
  <c r="AJ44" i="31"/>
  <c r="AI44" i="31"/>
  <c r="AI45" i="31" s="1"/>
  <c r="AH44" i="31"/>
  <c r="AG44" i="31"/>
  <c r="AF44" i="31"/>
  <c r="AF45" i="31" s="1"/>
  <c r="AE44" i="31"/>
  <c r="AD44" i="31"/>
  <c r="AC44" i="31"/>
  <c r="AB44" i="31"/>
  <c r="AA44" i="31"/>
  <c r="Z44" i="31"/>
  <c r="Z45" i="31" s="1"/>
  <c r="Y44" i="31"/>
  <c r="X44" i="31"/>
  <c r="W44" i="31"/>
  <c r="W45" i="31" s="1"/>
  <c r="V44" i="31"/>
  <c r="U44" i="31"/>
  <c r="T44" i="31"/>
  <c r="T45" i="31" s="1"/>
  <c r="S44" i="31"/>
  <c r="R44" i="31"/>
  <c r="Q44" i="31"/>
  <c r="Q45" i="31" s="1"/>
  <c r="P44" i="31"/>
  <c r="O44" i="31"/>
  <c r="N44" i="31"/>
  <c r="N45" i="31" s="1"/>
  <c r="M44" i="31"/>
  <c r="L44" i="31"/>
  <c r="K44" i="31"/>
  <c r="K45" i="31" s="1"/>
  <c r="J44" i="31"/>
  <c r="I44" i="31"/>
  <c r="H44" i="31"/>
  <c r="AZ44" i="31" s="1"/>
  <c r="BD43" i="31"/>
  <c r="G43" i="31" s="1"/>
  <c r="BC43" i="31"/>
  <c r="AZ43" i="31"/>
  <c r="AY43" i="31"/>
  <c r="AX43" i="31"/>
  <c r="BD42" i="31"/>
  <c r="BC42" i="31"/>
  <c r="AZ42" i="31"/>
  <c r="AY42" i="31"/>
  <c r="AX42" i="31"/>
  <c r="G42" i="31"/>
  <c r="BD41" i="31"/>
  <c r="G41" i="31" s="1"/>
  <c r="BC41" i="31"/>
  <c r="AZ41" i="31"/>
  <c r="AY41" i="31"/>
  <c r="AX41" i="31"/>
  <c r="BD40" i="31"/>
  <c r="G40" i="31" s="1"/>
  <c r="BC40" i="31"/>
  <c r="AZ40" i="31"/>
  <c r="AY40" i="31"/>
  <c r="AX40" i="31"/>
  <c r="BD39" i="31"/>
  <c r="G39" i="31" s="1"/>
  <c r="BC39" i="31"/>
  <c r="AZ39" i="31"/>
  <c r="AY39" i="31"/>
  <c r="AX39" i="31"/>
  <c r="BD38" i="31"/>
  <c r="BC38" i="31"/>
  <c r="AZ38" i="31"/>
  <c r="AY38" i="31"/>
  <c r="AX38" i="31"/>
  <c r="G38" i="31"/>
  <c r="BD37" i="31"/>
  <c r="G37" i="31" s="1"/>
  <c r="BC37" i="31"/>
  <c r="AZ37" i="31"/>
  <c r="AY37" i="31"/>
  <c r="AX37" i="31"/>
  <c r="BD36" i="31"/>
  <c r="G36" i="31" s="1"/>
  <c r="BC36" i="31"/>
  <c r="AZ36" i="31"/>
  <c r="AY36" i="31"/>
  <c r="AX36" i="31"/>
  <c r="BD35" i="31"/>
  <c r="G35" i="31" s="1"/>
  <c r="BC35" i="31"/>
  <c r="AZ35" i="31"/>
  <c r="AY35" i="31"/>
  <c r="AX35" i="31"/>
  <c r="BD34" i="31"/>
  <c r="BC34" i="31"/>
  <c r="AZ34" i="31"/>
  <c r="AY34" i="31"/>
  <c r="AX34" i="31"/>
  <c r="G34" i="31"/>
  <c r="BD33" i="31"/>
  <c r="G33" i="31" s="1"/>
  <c r="BC33" i="31"/>
  <c r="AZ33" i="31"/>
  <c r="AY33" i="31"/>
  <c r="AX33" i="31"/>
  <c r="BD32" i="31"/>
  <c r="G32" i="31" s="1"/>
  <c r="BC32" i="31"/>
  <c r="AZ32" i="31"/>
  <c r="AY32" i="31"/>
  <c r="AX32" i="31"/>
  <c r="BD31" i="31"/>
  <c r="G31" i="31" s="1"/>
  <c r="BC31" i="31"/>
  <c r="AZ31" i="31"/>
  <c r="AY31" i="31"/>
  <c r="AX31" i="31"/>
  <c r="BD30" i="31"/>
  <c r="BC30" i="31"/>
  <c r="AZ30" i="31"/>
  <c r="AY30" i="31"/>
  <c r="AX30" i="31"/>
  <c r="G30" i="31"/>
  <c r="BD29" i="31"/>
  <c r="G29" i="31" s="1"/>
  <c r="BC29" i="31"/>
  <c r="AZ29" i="31"/>
  <c r="AY29" i="31"/>
  <c r="AX29" i="31"/>
  <c r="BD28" i="31"/>
  <c r="G28" i="31" s="1"/>
  <c r="BC28" i="31"/>
  <c r="AZ28" i="31"/>
  <c r="AY28" i="31"/>
  <c r="AX28" i="31"/>
  <c r="BD27" i="31"/>
  <c r="G27" i="31" s="1"/>
  <c r="BC27" i="31"/>
  <c r="AZ27" i="31"/>
  <c r="AY27" i="31"/>
  <c r="AX27" i="31"/>
  <c r="BD26" i="31"/>
  <c r="G26" i="31" s="1"/>
  <c r="BC26" i="31"/>
  <c r="AZ26" i="31"/>
  <c r="AY26" i="31"/>
  <c r="AX26" i="31"/>
  <c r="BD25" i="31"/>
  <c r="G25" i="31" s="1"/>
  <c r="BC25" i="31"/>
  <c r="AZ25" i="31"/>
  <c r="AY25" i="31"/>
  <c r="AX25" i="31"/>
  <c r="BD24" i="31"/>
  <c r="G24" i="31" s="1"/>
  <c r="BC24" i="31"/>
  <c r="AZ24" i="31"/>
  <c r="AY24" i="31"/>
  <c r="AX24" i="31"/>
  <c r="BD23" i="31"/>
  <c r="G23" i="31" s="1"/>
  <c r="BC23" i="31"/>
  <c r="AZ23" i="31"/>
  <c r="AY23" i="31"/>
  <c r="AX23" i="31"/>
  <c r="BD22" i="31"/>
  <c r="G22" i="31" s="1"/>
  <c r="BC22" i="31"/>
  <c r="AZ22" i="31"/>
  <c r="AY22" i="31"/>
  <c r="AX22" i="31"/>
  <c r="BD21" i="31"/>
  <c r="G21" i="31" s="1"/>
  <c r="BC21" i="31"/>
  <c r="AZ21" i="31"/>
  <c r="AY21" i="31"/>
  <c r="AX21" i="31"/>
  <c r="BD20" i="31"/>
  <c r="G20" i="31" s="1"/>
  <c r="BC20" i="31"/>
  <c r="AZ20" i="31"/>
  <c r="AY20" i="31"/>
  <c r="AX20" i="31"/>
  <c r="BD19" i="31"/>
  <c r="G19" i="31" s="1"/>
  <c r="BC19" i="31"/>
  <c r="AZ19" i="31"/>
  <c r="AY19" i="31"/>
  <c r="AX19" i="31"/>
  <c r="BD18" i="31"/>
  <c r="G18" i="31" s="1"/>
  <c r="BC18" i="31"/>
  <c r="AZ18" i="31"/>
  <c r="AY18" i="31"/>
  <c r="AX18" i="31"/>
  <c r="BD17" i="31"/>
  <c r="G17" i="31" s="1"/>
  <c r="BC17" i="31"/>
  <c r="AZ17" i="31"/>
  <c r="AY17" i="31"/>
  <c r="AX17" i="31"/>
  <c r="BD16" i="31"/>
  <c r="G16" i="31" s="1"/>
  <c r="BC16" i="31"/>
  <c r="AZ16" i="31"/>
  <c r="AY16" i="31"/>
  <c r="AX16" i="31"/>
  <c r="BD15" i="31"/>
  <c r="G15" i="31" s="1"/>
  <c r="BC15" i="31"/>
  <c r="AZ15" i="31"/>
  <c r="AY15" i="31"/>
  <c r="AX15" i="31"/>
  <c r="BD14" i="31"/>
  <c r="G14" i="31" s="1"/>
  <c r="BC14" i="31"/>
  <c r="AZ14" i="31"/>
  <c r="AY14" i="31"/>
  <c r="AX14" i="31"/>
  <c r="BD13" i="31"/>
  <c r="G13" i="31" s="1"/>
  <c r="BC13" i="31"/>
  <c r="BA13" i="31"/>
  <c r="AZ13" i="31"/>
  <c r="AY13" i="31"/>
  <c r="AX13" i="31"/>
  <c r="BD12" i="31"/>
  <c r="BC12" i="31"/>
  <c r="BA12" i="31"/>
  <c r="BA44" i="31" s="1"/>
  <c r="AZ12" i="31"/>
  <c r="AY12" i="31"/>
  <c r="AX12" i="31"/>
  <c r="G12" i="31"/>
  <c r="BD11" i="31"/>
  <c r="G11" i="31" s="1"/>
  <c r="BC11" i="31"/>
  <c r="AZ11" i="31"/>
  <c r="AY11" i="31"/>
  <c r="AX11" i="31"/>
  <c r="BD10" i="31"/>
  <c r="G10" i="31" s="1"/>
  <c r="BC10" i="31"/>
  <c r="AZ10" i="31"/>
  <c r="AY10" i="31"/>
  <c r="AX10" i="31"/>
  <c r="AX44" i="31" s="1"/>
  <c r="BD9" i="31"/>
  <c r="BC9" i="31"/>
  <c r="AZ9" i="31"/>
  <c r="AY9" i="31"/>
  <c r="AX9" i="31"/>
  <c r="G9" i="31"/>
  <c r="BD8" i="31"/>
  <c r="G8" i="31" s="1"/>
  <c r="BC8" i="31"/>
  <c r="AZ8" i="31"/>
  <c r="AY8" i="31"/>
  <c r="AX8" i="31"/>
  <c r="BD7" i="31"/>
  <c r="BD44" i="31" s="1"/>
  <c r="BC7" i="31"/>
  <c r="BC44" i="31" s="1"/>
  <c r="AZ7" i="31"/>
  <c r="AY7" i="31"/>
  <c r="AY44" i="31" s="1"/>
  <c r="AX7" i="31"/>
  <c r="BE46" i="31" l="1"/>
  <c r="BE48" i="31"/>
  <c r="H45" i="31"/>
  <c r="F45" i="31" s="1"/>
  <c r="G7" i="31"/>
  <c r="G44" i="31" s="1"/>
  <c r="C20" i="30" l="1"/>
  <c r="G7" i="30" l="1"/>
  <c r="G8" i="30"/>
  <c r="G9" i="30"/>
  <c r="G10" i="30"/>
  <c r="G11" i="30"/>
  <c r="G12" i="30"/>
  <c r="G13" i="30"/>
  <c r="G14" i="30"/>
  <c r="G15" i="30"/>
  <c r="G16" i="30"/>
  <c r="G17" i="30"/>
  <c r="G18" i="30"/>
  <c r="G19" i="30"/>
  <c r="I11" i="30" l="1"/>
  <c r="F20" i="30"/>
  <c r="B20" i="30"/>
  <c r="H11" i="30"/>
  <c r="E11" i="30"/>
  <c r="P11" i="30" s="1"/>
  <c r="J6" i="30"/>
  <c r="G6" i="30"/>
  <c r="G20" i="30" s="1"/>
  <c r="K11" i="30" l="1"/>
  <c r="I10" i="30"/>
  <c r="I12" i="30"/>
  <c r="I17" i="30"/>
  <c r="I6" i="30"/>
  <c r="I13" i="30"/>
  <c r="I18" i="30"/>
  <c r="I7" i="30"/>
  <c r="I19" i="30"/>
  <c r="K19" i="30" s="1"/>
  <c r="I16" i="30"/>
  <c r="I8" i="30"/>
  <c r="I14" i="30"/>
  <c r="I9" i="30"/>
  <c r="I15" i="30"/>
  <c r="L11" i="30"/>
  <c r="H19" i="30"/>
  <c r="E19" i="30"/>
  <c r="H15" i="30"/>
  <c r="E15" i="30"/>
  <c r="H10" i="30"/>
  <c r="K10" i="30" s="1"/>
  <c r="E10" i="30"/>
  <c r="E16" i="30"/>
  <c r="P16" i="30" s="1"/>
  <c r="H16" i="30"/>
  <c r="K16" i="30" s="1"/>
  <c r="H14" i="30"/>
  <c r="E14" i="30"/>
  <c r="P14" i="30" s="1"/>
  <c r="H13" i="30"/>
  <c r="E13" i="30"/>
  <c r="E8" i="30"/>
  <c r="P8" i="30" s="1"/>
  <c r="H8" i="30"/>
  <c r="K8" i="30" s="1"/>
  <c r="H9" i="30"/>
  <c r="K9" i="30" s="1"/>
  <c r="E9" i="30"/>
  <c r="P9" i="30" s="1"/>
  <c r="H17" i="30"/>
  <c r="E17" i="30"/>
  <c r="H6" i="30"/>
  <c r="D20" i="30"/>
  <c r="P20" i="30" s="1"/>
  <c r="E6" i="30"/>
  <c r="H12" i="30"/>
  <c r="K12" i="30" s="1"/>
  <c r="E12" i="30"/>
  <c r="P12" i="30" s="1"/>
  <c r="H18" i="30"/>
  <c r="K18" i="30" s="1"/>
  <c r="E18" i="30"/>
  <c r="P18" i="30" s="1"/>
  <c r="H7" i="30"/>
  <c r="K7" i="30" s="1"/>
  <c r="E7" i="30"/>
  <c r="P7" i="30" s="1"/>
  <c r="J9" i="30"/>
  <c r="J13" i="30"/>
  <c r="J17" i="30"/>
  <c r="J19" i="30"/>
  <c r="J18" i="30"/>
  <c r="J10" i="30"/>
  <c r="J14" i="30"/>
  <c r="J11" i="30"/>
  <c r="J8" i="30"/>
  <c r="J7" i="30"/>
  <c r="J15" i="30"/>
  <c r="J12" i="30"/>
  <c r="J16" i="30"/>
  <c r="K6" i="30" l="1"/>
  <c r="K13" i="30"/>
  <c r="K15" i="30"/>
  <c r="K17" i="30"/>
  <c r="K20" i="30" s="1"/>
  <c r="K14" i="30"/>
  <c r="L14" i="30" s="1"/>
  <c r="M6" i="30"/>
  <c r="N6" i="30"/>
  <c r="I20" i="30"/>
  <c r="L13" i="30"/>
  <c r="P6" i="30"/>
  <c r="R6" i="30"/>
  <c r="Q6" i="30"/>
  <c r="L15" i="30"/>
  <c r="L9" i="30"/>
  <c r="L16" i="30"/>
  <c r="L19" i="30"/>
  <c r="P13" i="30"/>
  <c r="L12" i="30"/>
  <c r="L7" i="30"/>
  <c r="L8" i="30"/>
  <c r="P19" i="30"/>
  <c r="L10" i="30"/>
  <c r="P10" i="30"/>
  <c r="P15" i="30"/>
  <c r="R15" i="30"/>
  <c r="E20" i="30"/>
  <c r="R20" i="30" s="1"/>
  <c r="L18" i="30"/>
  <c r="N15" i="30"/>
  <c r="Q15" i="30"/>
  <c r="H20" i="30"/>
  <c r="P17" i="30"/>
  <c r="J20" i="30"/>
  <c r="Q20" i="30" s="1"/>
  <c r="Q16" i="30"/>
  <c r="R16" i="30"/>
  <c r="R14" i="30"/>
  <c r="Q14" i="30"/>
  <c r="R7" i="30"/>
  <c r="Q7" i="30"/>
  <c r="Q13" i="30"/>
  <c r="M13" i="30"/>
  <c r="N13" i="30"/>
  <c r="R13" i="30"/>
  <c r="R10" i="30"/>
  <c r="N10" i="30"/>
  <c r="Q10" i="30"/>
  <c r="Q12" i="30"/>
  <c r="R12" i="30"/>
  <c r="R18" i="30"/>
  <c r="Q18" i="30"/>
  <c r="Q19" i="30"/>
  <c r="R19" i="30"/>
  <c r="Q17" i="30"/>
  <c r="N17" i="30"/>
  <c r="R17" i="30"/>
  <c r="Q8" i="30"/>
  <c r="R8" i="30"/>
  <c r="R11" i="30"/>
  <c r="M11" i="30"/>
  <c r="Q11" i="30"/>
  <c r="N11" i="30"/>
  <c r="Q9" i="30"/>
  <c r="R9" i="30"/>
  <c r="L17" i="30" l="1"/>
  <c r="M10" i="30"/>
  <c r="N9" i="30"/>
  <c r="L6" i="30"/>
  <c r="M9" i="30"/>
  <c r="M17" i="30"/>
  <c r="M16" i="30"/>
  <c r="M8" i="30"/>
  <c r="N18" i="30"/>
  <c r="N7" i="30"/>
  <c r="N8" i="30"/>
  <c r="N19" i="30"/>
  <c r="M18" i="30"/>
  <c r="M7" i="30"/>
  <c r="N16" i="30"/>
  <c r="N14" i="30"/>
  <c r="M12" i="30"/>
  <c r="M14" i="30"/>
  <c r="N12" i="30"/>
  <c r="M19" i="30"/>
  <c r="N20" i="30"/>
  <c r="L20" i="30" l="1"/>
  <c r="M20" i="30"/>
</calcChain>
</file>

<file path=xl/sharedStrings.xml><?xml version="1.0" encoding="utf-8"?>
<sst xmlns="http://schemas.openxmlformats.org/spreadsheetml/2006/main" count="317" uniqueCount="235">
  <si>
    <t>CASCADE NATURAL GAS CORPORATION</t>
  </si>
  <si>
    <t>MEASURE</t>
  </si>
  <si>
    <t>THERM</t>
  </si>
  <si>
    <t>RESOURCE</t>
  </si>
  <si>
    <t>Wall Insulation</t>
  </si>
  <si>
    <t>Inflation rate</t>
  </si>
  <si>
    <t>PARTICIPANTS</t>
  </si>
  <si>
    <t>Attic/Ceiling Insulation</t>
  </si>
  <si>
    <t>Floor Insulation</t>
  </si>
  <si>
    <t>Duct Insulation</t>
  </si>
  <si>
    <t>BENEFIT</t>
  </si>
  <si>
    <t>TOTAL IN FIRST YEAR by MEASURE</t>
  </si>
  <si>
    <t>TOTAL PROGRAM</t>
  </si>
  <si>
    <t>BASECASE - MEDIUM FORECAST - AVERAGE WEATHER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</si>
  <si>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</si>
  <si>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</si>
  <si>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</si>
  <si>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</si>
  <si>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</si>
  <si>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</si>
  <si>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</si>
  <si>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</si>
  <si>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</si>
  <si>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</si>
  <si>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</si>
  <si>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</si>
  <si>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</si>
  <si>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</si>
  <si>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</si>
  <si>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Program Admin costs</t>
  </si>
  <si>
    <t xml:space="preserve">NON </t>
  </si>
  <si>
    <t xml:space="preserve">ENERGY </t>
  </si>
  <si>
    <t>WITH</t>
  </si>
  <si>
    <t>Furnace Tune Up</t>
  </si>
  <si>
    <t>Duct Sealing</t>
  </si>
  <si>
    <t>IRP discount rate</t>
  </si>
  <si>
    <t>EE discount rate</t>
  </si>
  <si>
    <t>Water Heater Insulation</t>
  </si>
  <si>
    <t>10% Indirect Rate</t>
  </si>
  <si>
    <t>Infiltration</t>
  </si>
  <si>
    <t>95%+ Furnace</t>
  </si>
  <si>
    <t>90%+ Direct Vent Space Heater</t>
  </si>
  <si>
    <t>Low Flow Faucet Aerator</t>
  </si>
  <si>
    <t>Low Flow Showerhead</t>
  </si>
  <si>
    <t>0.91+ Tankless Water Heater</t>
  </si>
  <si>
    <t>0.64+ Storage Water Heater</t>
  </si>
  <si>
    <t>15% Project Coordination Fee</t>
  </si>
  <si>
    <t>MEASURE INSTALLED COST</t>
  </si>
  <si>
    <t>(EIA Inflation Rate)</t>
  </si>
  <si>
    <t>2021 LOW INCOME Program Participant Cost Effectiveness Estimates</t>
  </si>
  <si>
    <t>-</t>
  </si>
  <si>
    <t>2020 INTEGRATED RESOURCE PLAN</t>
  </si>
  <si>
    <t>Cascade's Long Term Real Discount Rate:</t>
  </si>
  <si>
    <t>IRP Discount Rate :</t>
  </si>
  <si>
    <t>Years 21-45 Escalation:</t>
  </si>
  <si>
    <t>TOTAL ANNUAL THERM SAVINGS</t>
  </si>
  <si>
    <t>PROJECT COORDINATION FEE (15% of cost)</t>
  </si>
  <si>
    <t>NON-ENERGY BENEFITS (10% of cost)</t>
  </si>
  <si>
    <t>MEASURE LIFE</t>
  </si>
  <si>
    <t>DISCOUNTED THERM SAVINGS</t>
  </si>
  <si>
    <t>CASCADE ADMIN</t>
  </si>
  <si>
    <t>UTILITY COST</t>
  </si>
  <si>
    <t>UC W/DELIVERY &amp; ADMIN</t>
  </si>
  <si>
    <t>PROGRAM REBATE W/COORDINATION FEE &amp; INDIRECT RATE</t>
  </si>
  <si>
    <t>BENEFIT COST RATIO</t>
  </si>
  <si>
    <t>TOTAL RESROUCE COST</t>
  </si>
  <si>
    <t>TRC W/DELIVERY &amp; ADMIN</t>
  </si>
  <si>
    <t>INDIRECT RATE (10% of cost)</t>
  </si>
  <si>
    <t>Cascade Natural Gas Corporation</t>
  </si>
  <si>
    <t>LCCAP =</t>
  </si>
  <si>
    <t>Lower Columbia Community Action Program</t>
  </si>
  <si>
    <t xml:space="preserve">BMAC = </t>
  </si>
  <si>
    <t>Blue Mountain Action Council</t>
  </si>
  <si>
    <t>CDCAC =</t>
  </si>
  <si>
    <t>Chelan Douglas CAC</t>
  </si>
  <si>
    <t>Washington Low Income Weatherization Incentive Program (WIP) and Enhanced Weatherization Incentive Program (EWIP)</t>
  </si>
  <si>
    <t xml:space="preserve">NWCAC = </t>
  </si>
  <si>
    <t>Northwest Community Action Center</t>
  </si>
  <si>
    <t xml:space="preserve">HASC = </t>
  </si>
  <si>
    <t>Housing Authority of Skagit County</t>
  </si>
  <si>
    <t>OIC =</t>
  </si>
  <si>
    <t>Opportunity Industrialization Center of WA</t>
  </si>
  <si>
    <t>47020431</t>
  </si>
  <si>
    <t>KCR =</t>
  </si>
  <si>
    <t>Kitsap Community Resources</t>
  </si>
  <si>
    <t xml:space="preserve">OPPCO = </t>
  </si>
  <si>
    <t>Opportunity Council</t>
  </si>
  <si>
    <t>SNOHO OES =</t>
  </si>
  <si>
    <t>Snohomish Office of Energy and Sustanability</t>
  </si>
  <si>
    <t>12 months ending December 31, 2021</t>
  </si>
  <si>
    <t>CEILING</t>
  </si>
  <si>
    <t>WALL</t>
  </si>
  <si>
    <t>FLOOR</t>
  </si>
  <si>
    <t>DUCT INSULATION</t>
  </si>
  <si>
    <t>WATER HEATER INSULATION</t>
  </si>
  <si>
    <t>FURNACE TUNE UP</t>
  </si>
  <si>
    <t>DUCT SEALING</t>
  </si>
  <si>
    <t>INFILTRATION</t>
  </si>
  <si>
    <t>FURNACE INSTALL</t>
  </si>
  <si>
    <t>DV SPACE HEATER</t>
  </si>
  <si>
    <t>AERATOR</t>
  </si>
  <si>
    <t>SHOWERHEAD</t>
  </si>
  <si>
    <t>TANKLESS</t>
  </si>
  <si>
    <t>TANK WATER HEATER</t>
  </si>
  <si>
    <t>COUNT</t>
  </si>
  <si>
    <t>DSMC #</t>
  </si>
  <si>
    <t>Agency</t>
  </si>
  <si>
    <t>City</t>
  </si>
  <si>
    <t>Analysis Method</t>
  </si>
  <si>
    <t>Annual Therm Savings</t>
  </si>
  <si>
    <t>WIP Ceiling</t>
  </si>
  <si>
    <t>EWIP Ceiling</t>
  </si>
  <si>
    <t>Therms Ceiling</t>
  </si>
  <si>
    <t>WIP Wall</t>
  </si>
  <si>
    <t>EWIP Wall</t>
  </si>
  <si>
    <t>Therms Wall</t>
  </si>
  <si>
    <t>WIP Floor</t>
  </si>
  <si>
    <t>EWIP Floor</t>
  </si>
  <si>
    <t>Therms Floor</t>
  </si>
  <si>
    <t>WIP Duct Insulation</t>
  </si>
  <si>
    <t>EWIP Duct Insulation</t>
  </si>
  <si>
    <t>Therms Duct Insulation</t>
  </si>
  <si>
    <t>WIP Water Heater Ins</t>
  </si>
  <si>
    <t>EWIP Water Heater Ins</t>
  </si>
  <si>
    <t>Therms Wtr Htr Ins</t>
  </si>
  <si>
    <t>WIP Furnace Tune Up</t>
  </si>
  <si>
    <t>EWIP Furnace Tune Up</t>
  </si>
  <si>
    <t>Therms Furnace Tune Up</t>
  </si>
  <si>
    <t>WIP Duct Sealing</t>
  </si>
  <si>
    <t>EWIP Duct Sealing</t>
  </si>
  <si>
    <t>Therms Duct Sealing</t>
  </si>
  <si>
    <t>WIP Air Infil</t>
  </si>
  <si>
    <t>EWIP Air Infil</t>
  </si>
  <si>
    <t>Therms Air Infil</t>
  </si>
  <si>
    <t>WIP Furnace</t>
  </si>
  <si>
    <t>EWIP Furnace</t>
  </si>
  <si>
    <t>Therms Furnace</t>
  </si>
  <si>
    <t>WIP Direct Vent</t>
  </si>
  <si>
    <t>EWIP Direct Vent</t>
  </si>
  <si>
    <t>Therms Direct Vent</t>
  </si>
  <si>
    <t>WIP Aerator</t>
  </si>
  <si>
    <t>EWIP Aerator</t>
  </si>
  <si>
    <t>Therms Aerator</t>
  </si>
  <si>
    <t>WIP Showerhead</t>
  </si>
  <si>
    <t>EWIP Showerhead</t>
  </si>
  <si>
    <t>Therms Showerhead</t>
  </si>
  <si>
    <t>WIP Tankless</t>
  </si>
  <si>
    <t>EWIP Tankless</t>
  </si>
  <si>
    <t>Therms Tankless</t>
  </si>
  <si>
    <t>WIP Water Heater</t>
  </si>
  <si>
    <t>EWIP Water Heater</t>
  </si>
  <si>
    <t>Therms Water Heater</t>
  </si>
  <si>
    <t>Total WIP</t>
  </si>
  <si>
    <t>Total EWIP</t>
  </si>
  <si>
    <t>MEASURES INSTALLED COST</t>
  </si>
  <si>
    <t>15% Project Coordination</t>
  </si>
  <si>
    <t>10% Indirect Fee</t>
  </si>
  <si>
    <t># Measures</t>
  </si>
  <si>
    <t>Therms</t>
  </si>
  <si>
    <t>Total Project Cost with all Admin</t>
  </si>
  <si>
    <t>20-41</t>
  </si>
  <si>
    <t>CCAP</t>
  </si>
  <si>
    <t>MONTESANO</t>
  </si>
  <si>
    <t>DMPL</t>
  </si>
  <si>
    <t>20-43</t>
  </si>
  <si>
    <t>KCR</t>
  </si>
  <si>
    <t>PORT ORCHARD</t>
  </si>
  <si>
    <t>21-01</t>
  </si>
  <si>
    <t>BMAC</t>
  </si>
  <si>
    <t>WALLA WALLA</t>
  </si>
  <si>
    <t>TREAT</t>
  </si>
  <si>
    <t>21-02</t>
  </si>
  <si>
    <t>21-04</t>
  </si>
  <si>
    <t>21-05</t>
  </si>
  <si>
    <t>OPPCO</t>
  </si>
  <si>
    <t>BELLINGHAM</t>
  </si>
  <si>
    <t>21-06</t>
  </si>
  <si>
    <t>HASC</t>
  </si>
  <si>
    <t>BURLINGTON</t>
  </si>
  <si>
    <t>21-07</t>
  </si>
  <si>
    <t>POULSBO</t>
  </si>
  <si>
    <t>21-08</t>
  </si>
  <si>
    <t>OIC</t>
  </si>
  <si>
    <t>OTHELLO</t>
  </si>
  <si>
    <t>21-09</t>
  </si>
  <si>
    <t>YAKIMA</t>
  </si>
  <si>
    <t>21-10</t>
  </si>
  <si>
    <t>21-11</t>
  </si>
  <si>
    <t>FERNDALE</t>
  </si>
  <si>
    <t>21-12</t>
  </si>
  <si>
    <t>BREMERTON</t>
  </si>
  <si>
    <t>21-13</t>
  </si>
  <si>
    <t>21-14</t>
  </si>
  <si>
    <t>21-15</t>
  </si>
  <si>
    <t>CHELAN</t>
  </si>
  <si>
    <t>E WENATCHEE</t>
  </si>
  <si>
    <t>21-16</t>
  </si>
  <si>
    <t>21-17</t>
  </si>
  <si>
    <t>21-18</t>
  </si>
  <si>
    <t>BLAINE</t>
  </si>
  <si>
    <t>21-19</t>
  </si>
  <si>
    <t>21-20</t>
  </si>
  <si>
    <t>LCCAP</t>
  </si>
  <si>
    <t>LONGVIEW</t>
  </si>
  <si>
    <t>21-21</t>
  </si>
  <si>
    <t>21-22</t>
  </si>
  <si>
    <t>KELSO</t>
  </si>
  <si>
    <t>21-23</t>
  </si>
  <si>
    <t>BFCAC</t>
  </si>
  <si>
    <t>KENNEWICK</t>
  </si>
  <si>
    <t>21-24</t>
  </si>
  <si>
    <t>21-25</t>
  </si>
  <si>
    <t>OAK HARBOR</t>
  </si>
  <si>
    <t>21-26</t>
  </si>
  <si>
    <t>NWCAC</t>
  </si>
  <si>
    <t>GRANDVIEW</t>
  </si>
  <si>
    <t>21-27</t>
  </si>
  <si>
    <t>21-28</t>
  </si>
  <si>
    <t>21-29</t>
  </si>
  <si>
    <t>21-30</t>
  </si>
  <si>
    <t>LYNDEN</t>
  </si>
  <si>
    <t>21-31</t>
  </si>
  <si>
    <t>MOUNT VERNON</t>
  </si>
  <si>
    <t>21-32</t>
  </si>
  <si>
    <t>21-33</t>
  </si>
  <si>
    <t>EVERSON</t>
  </si>
  <si>
    <t>21-34</t>
  </si>
  <si>
    <t>RICHLAND</t>
  </si>
  <si>
    <t>21-35</t>
  </si>
  <si>
    <t>21-36</t>
  </si>
  <si>
    <t>PASCO</t>
  </si>
  <si>
    <t>Participants</t>
  </si>
  <si>
    <t>SINGLE FAMILY</t>
  </si>
  <si>
    <t>MANUFACTURED</t>
  </si>
  <si>
    <t>MULTIFAMILY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</si>
</sst>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General_)"/>
    <numFmt numFmtId="166" formatCode="&quot;$&quot;#,##0.00"/>
    <numFmt numFmtId="167" formatCode="\$#,##0.00;\$\(#,##0.00\)"/>
    <numFmt numFmtId="168" formatCode="#,##0.00%"/>
  </numFmts>
  <fonts count="39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2"/>
      <color rgb="FFFF0000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AA6DB"/>
      </patternFill>
    </fill>
    <fill>
      <patternFill patternType="solid">
        <fgColor rgb="FFE8E6E6"/>
      </patternFill>
    </fill>
    <fill>
      <patternFill patternType="solid">
        <fgColor rgb="FFF89842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D6D2D2"/>
      </left>
      <right/>
      <top/>
      <bottom/>
      <diagonal/>
    </border>
    <border>
      <left style="medium">
        <color indexed="64"/>
      </left>
      <right style="medium">
        <color rgb="FFD6D2D2"/>
      </right>
      <top style="medium">
        <color indexed="64"/>
      </top>
      <bottom/>
      <diagonal/>
    </border>
    <border>
      <left style="thick">
        <color rgb="FFD6D2D2"/>
      </left>
      <right style="medium">
        <color rgb="FFD6D2D2"/>
      </right>
      <top style="medium">
        <color indexed="64"/>
      </top>
      <bottom/>
      <diagonal/>
    </border>
    <border>
      <left style="thick">
        <color rgb="FFD6D2D2"/>
      </left>
      <right style="medium">
        <color indexed="64"/>
      </right>
      <top style="medium">
        <color indexed="64"/>
      </top>
      <bottom/>
      <diagonal/>
    </border>
    <border>
      <left style="medium">
        <color rgb="FFD6D2D2"/>
      </left>
      <right/>
      <top style="medium">
        <color rgb="FFD6D2D2"/>
      </top>
      <bottom style="medium">
        <color rgb="FFD6D2D2"/>
      </bottom>
      <diagonal/>
    </border>
    <border>
      <left style="medium">
        <color indexed="64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 style="medium">
        <color indexed="64"/>
      </right>
      <top style="medium">
        <color rgb="FFD6D2D2"/>
      </top>
      <bottom style="medium">
        <color rgb="FFD6D2D2"/>
      </bottom>
      <diagonal/>
    </border>
    <border>
      <left style="medium">
        <color indexed="64"/>
      </left>
      <right style="medium">
        <color rgb="FFD6D2D2"/>
      </right>
      <top style="medium">
        <color rgb="FFD6D2D2"/>
      </top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/>
      <diagonal/>
    </border>
    <border>
      <left style="medium">
        <color rgb="FFD6D2D2"/>
      </left>
      <right style="medium">
        <color indexed="64"/>
      </right>
      <top style="medium">
        <color rgb="FFD6D2D2"/>
      </top>
      <bottom/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</borders>
  <cellStyleXfs count="23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5" fontId="2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0">
    <xf numFmtId="0" fontId="0" fillId="0" borderId="0" xfId="0"/>
    <xf numFmtId="0" fontId="22" fillId="0" borderId="0" xfId="0" applyFont="1" applyAlignment="1">
      <alignment horizontal="center"/>
    </xf>
    <xf numFmtId="0" fontId="23" fillId="0" borderId="0" xfId="0" applyFont="1"/>
    <xf numFmtId="0" fontId="27" fillId="0" borderId="0" xfId="0" applyFont="1"/>
    <xf numFmtId="0" fontId="2" fillId="0" borderId="0" xfId="0" applyFont="1"/>
    <xf numFmtId="0" fontId="2" fillId="0" borderId="0" xfId="39" applyFont="1" applyFill="1"/>
    <xf numFmtId="0" fontId="2" fillId="0" borderId="0" xfId="39" applyFont="1" applyFill="1" applyAlignment="1">
      <alignment horizontal="center"/>
    </xf>
    <xf numFmtId="0" fontId="2" fillId="0" borderId="10" xfId="39" applyFont="1" applyFill="1" applyBorder="1" applyAlignment="1">
      <alignment horizontal="center"/>
    </xf>
    <xf numFmtId="166" fontId="2" fillId="0" borderId="0" xfId="29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42" applyNumberFormat="1" applyFont="1" applyAlignment="1">
      <alignment horizontal="center" vertical="center"/>
    </xf>
    <xf numFmtId="10" fontId="2" fillId="0" borderId="0" xfId="42" applyNumberFormat="1" applyFont="1"/>
    <xf numFmtId="0" fontId="22" fillId="0" borderId="0" xfId="0" applyFont="1"/>
    <xf numFmtId="43" fontId="23" fillId="0" borderId="0" xfId="0" applyNumberFormat="1" applyFont="1"/>
    <xf numFmtId="44" fontId="23" fillId="0" borderId="0" xfId="0" applyNumberFormat="1" applyFont="1"/>
    <xf numFmtId="164" fontId="23" fillId="0" borderId="0" xfId="0" applyNumberFormat="1" applyFont="1"/>
    <xf numFmtId="44" fontId="23" fillId="0" borderId="0" xfId="0" applyNumberFormat="1" applyFont="1" applyAlignment="1">
      <alignment horizontal="center"/>
    </xf>
    <xf numFmtId="43" fontId="30" fillId="0" borderId="0" xfId="28" applyFont="1" applyFill="1" applyBorder="1"/>
    <xf numFmtId="44" fontId="30" fillId="0" borderId="0" xfId="0" applyNumberFormat="1" applyFont="1"/>
    <xf numFmtId="0" fontId="30" fillId="0" borderId="0" xfId="0" applyFont="1"/>
    <xf numFmtId="44" fontId="30" fillId="0" borderId="0" xfId="0" applyNumberFormat="1" applyFont="1" applyAlignment="1">
      <alignment horizontal="center"/>
    </xf>
    <xf numFmtId="0" fontId="28" fillId="0" borderId="0" xfId="0" applyFont="1" applyAlignment="1">
      <alignment wrapText="1"/>
    </xf>
    <xf numFmtId="44" fontId="22" fillId="0" borderId="0" xfId="0" applyNumberFormat="1" applyFont="1"/>
    <xf numFmtId="2" fontId="29" fillId="0" borderId="0" xfId="0" applyNumberFormat="1" applyFont="1"/>
    <xf numFmtId="9" fontId="2" fillId="0" borderId="0" xfId="42" applyFont="1" applyAlignment="1">
      <alignment horizontal="center" vertical="center"/>
    </xf>
    <xf numFmtId="0" fontId="22" fillId="0" borderId="0" xfId="0" applyFont="1"/>
    <xf numFmtId="0" fontId="31" fillId="25" borderId="12" xfId="0" applyFont="1" applyFill="1" applyBorder="1" applyAlignment="1">
      <alignment horizontal="center" vertical="center" wrapText="1"/>
    </xf>
    <xf numFmtId="4" fontId="32" fillId="26" borderId="13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167" fontId="33" fillId="27" borderId="14" xfId="0" applyNumberFormat="1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8" fontId="35" fillId="0" borderId="13" xfId="0" applyNumberFormat="1" applyFont="1" applyBorder="1" applyAlignment="1">
      <alignment horizontal="left" vertical="center" wrapText="1"/>
    </xf>
    <xf numFmtId="166" fontId="35" fillId="0" borderId="13" xfId="0" applyNumberFormat="1" applyFont="1" applyBorder="1" applyAlignment="1">
      <alignment horizontal="left" vertical="center" wrapText="1"/>
    </xf>
    <xf numFmtId="2" fontId="33" fillId="27" borderId="14" xfId="0" applyNumberFormat="1" applyFont="1" applyFill="1" applyBorder="1" applyAlignment="1">
      <alignment horizontal="center" vertical="center" wrapText="1"/>
    </xf>
    <xf numFmtId="44" fontId="32" fillId="26" borderId="13" xfId="29" applyFont="1" applyFill="1" applyBorder="1" applyAlignment="1">
      <alignment horizontal="center" vertical="center" wrapText="1"/>
    </xf>
    <xf numFmtId="44" fontId="32" fillId="0" borderId="13" xfId="29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3" fillId="24" borderId="11" xfId="0" applyFont="1" applyFill="1" applyBorder="1" applyAlignment="1">
      <alignment horizontal="center"/>
    </xf>
    <xf numFmtId="0" fontId="23" fillId="24" borderId="0" xfId="0" applyFont="1" applyFill="1" applyBorder="1" applyAlignment="1">
      <alignment horizontal="center"/>
    </xf>
    <xf numFmtId="0" fontId="3" fillId="0" borderId="0" xfId="39" applyFont="1" applyFill="1" applyAlignment="1">
      <alignment horizontal="center"/>
    </xf>
    <xf numFmtId="0" fontId="36" fillId="0" borderId="0" xfId="0" applyFont="1" applyAlignment="1">
      <alignment vertical="center"/>
    </xf>
    <xf numFmtId="165" fontId="3" fillId="0" borderId="0" xfId="226" applyFont="1" applyAlignment="1">
      <alignment horizontal="left" vertical="center"/>
    </xf>
    <xf numFmtId="2" fontId="3" fillId="0" borderId="0" xfId="226" applyNumberFormat="1" applyFont="1" applyAlignment="1">
      <alignment horizontal="center" vertical="center"/>
    </xf>
    <xf numFmtId="44" fontId="3" fillId="0" borderId="0" xfId="206" applyFont="1" applyFill="1" applyAlignment="1">
      <alignment horizontal="center" vertical="center"/>
    </xf>
    <xf numFmtId="2" fontId="3" fillId="0" borderId="0" xfId="206" applyNumberFormat="1" applyFont="1" applyFill="1" applyAlignment="1">
      <alignment horizontal="left" vertical="center"/>
    </xf>
    <xf numFmtId="44" fontId="36" fillId="0" borderId="0" xfId="0" applyNumberFormat="1" applyFont="1" applyAlignment="1">
      <alignment vertical="center"/>
    </xf>
    <xf numFmtId="1" fontId="3" fillId="0" borderId="0" xfId="206" applyNumberFormat="1" applyFont="1" applyFill="1" applyAlignment="1">
      <alignment vertical="center"/>
    </xf>
    <xf numFmtId="2" fontId="3" fillId="0" borderId="0" xfId="206" applyNumberFormat="1" applyFont="1" applyFill="1" applyAlignment="1">
      <alignment horizontal="center" vertical="center"/>
    </xf>
    <xf numFmtId="44" fontId="3" fillId="0" borderId="0" xfId="206" applyFont="1" applyFill="1" applyAlignment="1">
      <alignment horizontal="left" vertical="center"/>
    </xf>
    <xf numFmtId="2" fontId="36" fillId="0" borderId="0" xfId="0" applyNumberFormat="1" applyFont="1" applyAlignment="1">
      <alignment vertical="center"/>
    </xf>
    <xf numFmtId="1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2" fontId="36" fillId="0" borderId="0" xfId="0" applyNumberFormat="1" applyFont="1" applyAlignment="1">
      <alignment horizontal="left" vertical="center"/>
    </xf>
    <xf numFmtId="166" fontId="3" fillId="0" borderId="0" xfId="206" applyNumberFormat="1" applyFont="1" applyFill="1" applyAlignment="1">
      <alignment horizontal="center" vertical="center"/>
    </xf>
    <xf numFmtId="165" fontId="3" fillId="0" borderId="0" xfId="226" applyFont="1" applyAlignment="1">
      <alignment horizontal="center" vertical="center"/>
    </xf>
    <xf numFmtId="44" fontId="2" fillId="0" borderId="0" xfId="29" applyFont="1" applyFill="1" applyAlignment="1">
      <alignment vertical="center"/>
    </xf>
    <xf numFmtId="49" fontId="3" fillId="0" borderId="0" xfId="0" applyNumberFormat="1" applyFont="1"/>
    <xf numFmtId="1" fontId="3" fillId="0" borderId="0" xfId="226" applyNumberFormat="1" applyFont="1" applyAlignment="1">
      <alignment horizontal="center" vertical="center"/>
    </xf>
    <xf numFmtId="165" fontId="3" fillId="0" borderId="0" xfId="226" applyFont="1" applyAlignment="1">
      <alignment vertical="center"/>
    </xf>
    <xf numFmtId="166" fontId="3" fillId="0" borderId="15" xfId="206" applyNumberFormat="1" applyFont="1" applyFill="1" applyBorder="1" applyAlignment="1">
      <alignment horizontal="center" vertical="center" wrapText="1"/>
    </xf>
    <xf numFmtId="166" fontId="3" fillId="0" borderId="16" xfId="206" applyNumberFormat="1" applyFont="1" applyFill="1" applyBorder="1" applyAlignment="1">
      <alignment horizontal="center" vertical="center" wrapText="1"/>
    </xf>
    <xf numFmtId="166" fontId="3" fillId="0" borderId="17" xfId="206" applyNumberFormat="1" applyFont="1" applyFill="1" applyBorder="1" applyAlignment="1">
      <alignment horizontal="center" vertical="center" wrapText="1"/>
    </xf>
    <xf numFmtId="166" fontId="3" fillId="0" borderId="15" xfId="206" applyNumberFormat="1" applyFont="1" applyFill="1" applyBorder="1" applyAlignment="1">
      <alignment horizontal="center" vertical="center"/>
    </xf>
    <xf numFmtId="166" fontId="3" fillId="0" borderId="16" xfId="206" applyNumberFormat="1" applyFont="1" applyFill="1" applyBorder="1" applyAlignment="1">
      <alignment horizontal="center" vertical="center"/>
    </xf>
    <xf numFmtId="166" fontId="3" fillId="0" borderId="17" xfId="206" applyNumberFormat="1" applyFont="1" applyFill="1" applyBorder="1" applyAlignment="1">
      <alignment horizontal="center" vertical="center"/>
    </xf>
    <xf numFmtId="44" fontId="3" fillId="0" borderId="15" xfId="206" applyFont="1" applyFill="1" applyBorder="1" applyAlignment="1">
      <alignment horizontal="center" vertical="center"/>
    </xf>
    <xf numFmtId="44" fontId="3" fillId="0" borderId="16" xfId="206" applyFont="1" applyFill="1" applyBorder="1" applyAlignment="1">
      <alignment horizontal="center" vertical="center"/>
    </xf>
    <xf numFmtId="44" fontId="3" fillId="0" borderId="17" xfId="206" applyFont="1" applyFill="1" applyBorder="1" applyAlignment="1">
      <alignment horizontal="center" vertical="center"/>
    </xf>
    <xf numFmtId="0" fontId="31" fillId="25" borderId="18" xfId="0" applyFont="1" applyFill="1" applyBorder="1" applyAlignment="1">
      <alignment horizontal="center" vertical="center" wrapText="1"/>
    </xf>
    <xf numFmtId="0" fontId="31" fillId="25" borderId="19" xfId="0" applyFont="1" applyFill="1" applyBorder="1" applyAlignment="1">
      <alignment horizontal="center" vertical="center" wrapText="1"/>
    </xf>
    <xf numFmtId="0" fontId="31" fillId="25" borderId="20" xfId="0" applyFont="1" applyFill="1" applyBorder="1" applyAlignment="1">
      <alignment horizontal="center" vertical="center" wrapText="1"/>
    </xf>
    <xf numFmtId="0" fontId="31" fillId="25" borderId="21" xfId="0" applyFont="1" applyFill="1" applyBorder="1" applyAlignment="1">
      <alignment horizontal="center" vertical="center" wrapText="1"/>
    </xf>
    <xf numFmtId="0" fontId="32" fillId="26" borderId="13" xfId="0" applyFont="1" applyFill="1" applyBorder="1" applyAlignment="1">
      <alignment horizontal="center" vertical="center" wrapText="1"/>
    </xf>
    <xf numFmtId="0" fontId="32" fillId="26" borderId="22" xfId="0" applyFont="1" applyFill="1" applyBorder="1" applyAlignment="1">
      <alignment horizontal="center" vertical="center" wrapText="1"/>
    </xf>
    <xf numFmtId="44" fontId="32" fillId="26" borderId="23" xfId="0" applyNumberFormat="1" applyFont="1" applyFill="1" applyBorder="1" applyAlignment="1">
      <alignment horizontal="center" vertical="center" wrapText="1"/>
    </xf>
    <xf numFmtId="44" fontId="32" fillId="26" borderId="13" xfId="0" applyNumberFormat="1" applyFont="1" applyFill="1" applyBorder="1" applyAlignment="1">
      <alignment horizontal="center" vertical="center" wrapText="1"/>
    </xf>
    <xf numFmtId="2" fontId="32" fillId="26" borderId="24" xfId="0" applyNumberFormat="1" applyFont="1" applyFill="1" applyBorder="1" applyAlignment="1">
      <alignment horizontal="right" vertical="center" wrapText="1"/>
    </xf>
    <xf numFmtId="43" fontId="32" fillId="26" borderId="13" xfId="28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44" fontId="32" fillId="0" borderId="23" xfId="0" applyNumberFormat="1" applyFont="1" applyBorder="1" applyAlignment="1">
      <alignment horizontal="center" vertical="center" wrapText="1"/>
    </xf>
    <xf numFmtId="44" fontId="32" fillId="0" borderId="13" xfId="0" applyNumberFormat="1" applyFont="1" applyBorder="1" applyAlignment="1">
      <alignment horizontal="center" vertical="center" wrapText="1"/>
    </xf>
    <xf numFmtId="2" fontId="32" fillId="0" borderId="24" xfId="0" applyNumberFormat="1" applyFont="1" applyBorder="1" applyAlignment="1">
      <alignment horizontal="right" vertical="center" wrapText="1"/>
    </xf>
    <xf numFmtId="43" fontId="32" fillId="0" borderId="13" xfId="28" applyFont="1" applyBorder="1" applyAlignment="1">
      <alignment horizontal="center" vertical="center" wrapText="1"/>
    </xf>
    <xf numFmtId="44" fontId="32" fillId="26" borderId="25" xfId="0" applyNumberFormat="1" applyFont="1" applyFill="1" applyBorder="1" applyAlignment="1">
      <alignment horizontal="center" vertical="center" wrapText="1"/>
    </xf>
    <xf numFmtId="44" fontId="32" fillId="26" borderId="26" xfId="0" applyNumberFormat="1" applyFont="1" applyFill="1" applyBorder="1" applyAlignment="1">
      <alignment horizontal="center" vertical="center" wrapText="1"/>
    </xf>
    <xf numFmtId="2" fontId="32" fillId="26" borderId="27" xfId="0" applyNumberFormat="1" applyFont="1" applyFill="1" applyBorder="1" applyAlignment="1">
      <alignment horizontal="right" vertical="center" wrapText="1"/>
    </xf>
    <xf numFmtId="166" fontId="31" fillId="27" borderId="28" xfId="0" applyNumberFormat="1" applyFont="1" applyFill="1" applyBorder="1" applyAlignment="1">
      <alignment horizontal="center" vertical="center" wrapText="1"/>
    </xf>
    <xf numFmtId="43" fontId="31" fillId="27" borderId="28" xfId="28" applyFont="1" applyFill="1" applyBorder="1" applyAlignment="1">
      <alignment horizontal="center" vertical="center" wrapText="1"/>
    </xf>
    <xf numFmtId="44" fontId="31" fillId="27" borderId="28" xfId="0" applyNumberFormat="1" applyFont="1" applyFill="1" applyBorder="1" applyAlignment="1">
      <alignment horizontal="center" vertical="center" wrapText="1"/>
    </xf>
    <xf numFmtId="44" fontId="31" fillId="27" borderId="28" xfId="29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2" fontId="35" fillId="0" borderId="13" xfId="0" applyNumberFormat="1" applyFont="1" applyBorder="1" applyAlignment="1">
      <alignment horizontal="left" vertical="center" wrapText="1"/>
    </xf>
    <xf numFmtId="2" fontId="36" fillId="0" borderId="0" xfId="0" applyNumberFormat="1" applyFont="1" applyAlignment="1">
      <alignment horizontal="center" vertical="center"/>
    </xf>
    <xf numFmtId="166" fontId="36" fillId="0" borderId="0" xfId="29" applyNumberFormat="1" applyFont="1" applyFill="1" applyBorder="1" applyAlignment="1">
      <alignment vertical="center"/>
    </xf>
    <xf numFmtId="44" fontId="36" fillId="0" borderId="0" xfId="0" applyNumberFormat="1" applyFont="1" applyAlignment="1">
      <alignment horizontal="left" vertical="center"/>
    </xf>
    <xf numFmtId="166" fontId="36" fillId="0" borderId="0" xfId="0" applyNumberFormat="1" applyFont="1" applyAlignment="1">
      <alignment vertical="center"/>
    </xf>
    <xf numFmtId="43" fontId="35" fillId="0" borderId="13" xfId="28" applyFont="1" applyBorder="1" applyAlignment="1">
      <alignment horizontal="left" vertical="center" wrapText="1"/>
    </xf>
    <xf numFmtId="44" fontId="36" fillId="0" borderId="0" xfId="0" applyNumberFormat="1" applyFont="1" applyAlignment="1">
      <alignment horizontal="center" vertical="center"/>
    </xf>
    <xf numFmtId="44" fontId="36" fillId="0" borderId="0" xfId="29" applyFont="1" applyFill="1" applyBorder="1" applyAlignment="1">
      <alignment vertical="center"/>
    </xf>
    <xf numFmtId="2" fontId="38" fillId="0" borderId="0" xfId="0" applyNumberFormat="1" applyFont="1" applyAlignment="1">
      <alignment horizontal="center" vertical="center"/>
    </xf>
    <xf numFmtId="44" fontId="38" fillId="0" borderId="0" xfId="0" applyNumberFormat="1" applyFont="1" applyAlignment="1">
      <alignment horizontal="center" vertical="center"/>
    </xf>
    <xf numFmtId="166" fontId="38" fillId="0" borderId="0" xfId="0" applyNumberFormat="1" applyFont="1" applyAlignment="1">
      <alignment horizontal="center" vertical="center"/>
    </xf>
    <xf numFmtId="166" fontId="38" fillId="0" borderId="0" xfId="29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4" fontId="36" fillId="0" borderId="0" xfId="29" applyFont="1" applyFill="1" applyAlignment="1">
      <alignment vertical="center"/>
    </xf>
  </cellXfs>
  <cellStyles count="231">
    <cellStyle name="20% - Accent1" xfId="1" builtinId="30" customBuiltin="1"/>
    <cellStyle name="20% - Accent1 2" xfId="47" xr:uid="{00000000-0005-0000-0000-000001000000}"/>
    <cellStyle name="20% - Accent1 3" xfId="90" xr:uid="{00000000-0005-0000-0000-000002000000}"/>
    <cellStyle name="20% - Accent1 4" xfId="132" xr:uid="{00000000-0005-0000-0000-000003000000}"/>
    <cellStyle name="20% - Accent1 5" xfId="175" xr:uid="{00000000-0005-0000-0000-000004000000}"/>
    <cellStyle name="20% - Accent2" xfId="2" builtinId="34" customBuiltin="1"/>
    <cellStyle name="20% - Accent2 2" xfId="48" xr:uid="{00000000-0005-0000-0000-000006000000}"/>
    <cellStyle name="20% - Accent2 3" xfId="91" xr:uid="{00000000-0005-0000-0000-000007000000}"/>
    <cellStyle name="20% - Accent2 4" xfId="133" xr:uid="{00000000-0005-0000-0000-000008000000}"/>
    <cellStyle name="20% - Accent2 5" xfId="176" xr:uid="{00000000-0005-0000-0000-000009000000}"/>
    <cellStyle name="20% - Accent3" xfId="3" builtinId="38" customBuiltin="1"/>
    <cellStyle name="20% - Accent3 2" xfId="49" xr:uid="{00000000-0005-0000-0000-00000B000000}"/>
    <cellStyle name="20% - Accent3 3" xfId="92" xr:uid="{00000000-0005-0000-0000-00000C000000}"/>
    <cellStyle name="20% - Accent3 4" xfId="134" xr:uid="{00000000-0005-0000-0000-00000D000000}"/>
    <cellStyle name="20% - Accent3 5" xfId="177" xr:uid="{00000000-0005-0000-0000-00000E000000}"/>
    <cellStyle name="20% - Accent4" xfId="4" builtinId="42" customBuiltin="1"/>
    <cellStyle name="20% - Accent4 2" xfId="50" xr:uid="{00000000-0005-0000-0000-000010000000}"/>
    <cellStyle name="20% - Accent4 3" xfId="93" xr:uid="{00000000-0005-0000-0000-000011000000}"/>
    <cellStyle name="20% - Accent4 4" xfId="135" xr:uid="{00000000-0005-0000-0000-000012000000}"/>
    <cellStyle name="20% - Accent4 5" xfId="178" xr:uid="{00000000-0005-0000-0000-000013000000}"/>
    <cellStyle name="20% - Accent5" xfId="5" builtinId="46" customBuiltin="1"/>
    <cellStyle name="20% - Accent5 2" xfId="51" xr:uid="{00000000-0005-0000-0000-000015000000}"/>
    <cellStyle name="20% - Accent5 3" xfId="94" xr:uid="{00000000-0005-0000-0000-000016000000}"/>
    <cellStyle name="20% - Accent5 4" xfId="136" xr:uid="{00000000-0005-0000-0000-000017000000}"/>
    <cellStyle name="20% - Accent5 5" xfId="179" xr:uid="{00000000-0005-0000-0000-000018000000}"/>
    <cellStyle name="20% - Accent6" xfId="6" builtinId="50" customBuiltin="1"/>
    <cellStyle name="20% - Accent6 2" xfId="52" xr:uid="{00000000-0005-0000-0000-00001A000000}"/>
    <cellStyle name="20% - Accent6 3" xfId="95" xr:uid="{00000000-0005-0000-0000-00001B000000}"/>
    <cellStyle name="20% - Accent6 4" xfId="137" xr:uid="{00000000-0005-0000-0000-00001C000000}"/>
    <cellStyle name="20% - Accent6 5" xfId="180" xr:uid="{00000000-0005-0000-0000-00001D000000}"/>
    <cellStyle name="40% - Accent1" xfId="7" builtinId="31" customBuiltin="1"/>
    <cellStyle name="40% - Accent1 2" xfId="53" xr:uid="{00000000-0005-0000-0000-00001F000000}"/>
    <cellStyle name="40% - Accent1 3" xfId="96" xr:uid="{00000000-0005-0000-0000-000020000000}"/>
    <cellStyle name="40% - Accent1 4" xfId="138" xr:uid="{00000000-0005-0000-0000-000021000000}"/>
    <cellStyle name="40% - Accent1 5" xfId="181" xr:uid="{00000000-0005-0000-0000-000022000000}"/>
    <cellStyle name="40% - Accent2" xfId="8" builtinId="35" customBuiltin="1"/>
    <cellStyle name="40% - Accent2 2" xfId="54" xr:uid="{00000000-0005-0000-0000-000024000000}"/>
    <cellStyle name="40% - Accent2 3" xfId="97" xr:uid="{00000000-0005-0000-0000-000025000000}"/>
    <cellStyle name="40% - Accent2 4" xfId="139" xr:uid="{00000000-0005-0000-0000-000026000000}"/>
    <cellStyle name="40% - Accent2 5" xfId="182" xr:uid="{00000000-0005-0000-0000-000027000000}"/>
    <cellStyle name="40% - Accent3" xfId="9" builtinId="39" customBuiltin="1"/>
    <cellStyle name="40% - Accent3 2" xfId="55" xr:uid="{00000000-0005-0000-0000-000029000000}"/>
    <cellStyle name="40% - Accent3 3" xfId="98" xr:uid="{00000000-0005-0000-0000-00002A000000}"/>
    <cellStyle name="40% - Accent3 4" xfId="140" xr:uid="{00000000-0005-0000-0000-00002B000000}"/>
    <cellStyle name="40% - Accent3 5" xfId="183" xr:uid="{00000000-0005-0000-0000-00002C000000}"/>
    <cellStyle name="40% - Accent4" xfId="10" builtinId="43" customBuiltin="1"/>
    <cellStyle name="40% - Accent4 2" xfId="56" xr:uid="{00000000-0005-0000-0000-00002E000000}"/>
    <cellStyle name="40% - Accent4 3" xfId="99" xr:uid="{00000000-0005-0000-0000-00002F000000}"/>
    <cellStyle name="40% - Accent4 4" xfId="141" xr:uid="{00000000-0005-0000-0000-000030000000}"/>
    <cellStyle name="40% - Accent4 5" xfId="184" xr:uid="{00000000-0005-0000-0000-000031000000}"/>
    <cellStyle name="40% - Accent5" xfId="11" builtinId="47" customBuiltin="1"/>
    <cellStyle name="40% - Accent5 2" xfId="57" xr:uid="{00000000-0005-0000-0000-000033000000}"/>
    <cellStyle name="40% - Accent5 3" xfId="100" xr:uid="{00000000-0005-0000-0000-000034000000}"/>
    <cellStyle name="40% - Accent5 4" xfId="142" xr:uid="{00000000-0005-0000-0000-000035000000}"/>
    <cellStyle name="40% - Accent5 5" xfId="185" xr:uid="{00000000-0005-0000-0000-000036000000}"/>
    <cellStyle name="40% - Accent6" xfId="12" builtinId="51" customBuiltin="1"/>
    <cellStyle name="40% - Accent6 2" xfId="58" xr:uid="{00000000-0005-0000-0000-000038000000}"/>
    <cellStyle name="40% - Accent6 3" xfId="101" xr:uid="{00000000-0005-0000-0000-000039000000}"/>
    <cellStyle name="40% - Accent6 4" xfId="143" xr:uid="{00000000-0005-0000-0000-00003A000000}"/>
    <cellStyle name="40% - Accent6 5" xfId="186" xr:uid="{00000000-0005-0000-0000-00003B000000}"/>
    <cellStyle name="60% - Accent1" xfId="13" builtinId="32" customBuiltin="1"/>
    <cellStyle name="60% - Accent1 2" xfId="59" xr:uid="{00000000-0005-0000-0000-00003D000000}"/>
    <cellStyle name="60% - Accent1 3" xfId="102" xr:uid="{00000000-0005-0000-0000-00003E000000}"/>
    <cellStyle name="60% - Accent1 4" xfId="144" xr:uid="{00000000-0005-0000-0000-00003F000000}"/>
    <cellStyle name="60% - Accent1 5" xfId="187" xr:uid="{00000000-0005-0000-0000-000040000000}"/>
    <cellStyle name="60% - Accent2" xfId="14" builtinId="36" customBuiltin="1"/>
    <cellStyle name="60% - Accent2 2" xfId="60" xr:uid="{00000000-0005-0000-0000-000042000000}"/>
    <cellStyle name="60% - Accent2 3" xfId="103" xr:uid="{00000000-0005-0000-0000-000043000000}"/>
    <cellStyle name="60% - Accent2 4" xfId="145" xr:uid="{00000000-0005-0000-0000-000044000000}"/>
    <cellStyle name="60% - Accent2 5" xfId="188" xr:uid="{00000000-0005-0000-0000-000045000000}"/>
    <cellStyle name="60% - Accent3" xfId="15" builtinId="40" customBuiltin="1"/>
    <cellStyle name="60% - Accent3 2" xfId="61" xr:uid="{00000000-0005-0000-0000-000047000000}"/>
    <cellStyle name="60% - Accent3 3" xfId="104" xr:uid="{00000000-0005-0000-0000-000048000000}"/>
    <cellStyle name="60% - Accent3 4" xfId="146" xr:uid="{00000000-0005-0000-0000-000049000000}"/>
    <cellStyle name="60% - Accent3 5" xfId="189" xr:uid="{00000000-0005-0000-0000-00004A000000}"/>
    <cellStyle name="60% - Accent4" xfId="16" builtinId="44" customBuiltin="1"/>
    <cellStyle name="60% - Accent4 2" xfId="62" xr:uid="{00000000-0005-0000-0000-00004C000000}"/>
    <cellStyle name="60% - Accent4 3" xfId="105" xr:uid="{00000000-0005-0000-0000-00004D000000}"/>
    <cellStyle name="60% - Accent4 4" xfId="147" xr:uid="{00000000-0005-0000-0000-00004E000000}"/>
    <cellStyle name="60% - Accent4 5" xfId="190" xr:uid="{00000000-0005-0000-0000-00004F000000}"/>
    <cellStyle name="60% - Accent5" xfId="17" builtinId="48" customBuiltin="1"/>
    <cellStyle name="60% - Accent5 2" xfId="63" xr:uid="{00000000-0005-0000-0000-000051000000}"/>
    <cellStyle name="60% - Accent5 3" xfId="106" xr:uid="{00000000-0005-0000-0000-000052000000}"/>
    <cellStyle name="60% - Accent5 4" xfId="148" xr:uid="{00000000-0005-0000-0000-000053000000}"/>
    <cellStyle name="60% - Accent5 5" xfId="191" xr:uid="{00000000-0005-0000-0000-000054000000}"/>
    <cellStyle name="60% - Accent6" xfId="18" builtinId="52" customBuiltin="1"/>
    <cellStyle name="60% - Accent6 2" xfId="64" xr:uid="{00000000-0005-0000-0000-000056000000}"/>
    <cellStyle name="60% - Accent6 3" xfId="107" xr:uid="{00000000-0005-0000-0000-000057000000}"/>
    <cellStyle name="60% - Accent6 4" xfId="149" xr:uid="{00000000-0005-0000-0000-000058000000}"/>
    <cellStyle name="60% - Accent6 5" xfId="192" xr:uid="{00000000-0005-0000-0000-000059000000}"/>
    <cellStyle name="Accent1" xfId="19" builtinId="29" customBuiltin="1"/>
    <cellStyle name="Accent1 2" xfId="65" xr:uid="{00000000-0005-0000-0000-00005B000000}"/>
    <cellStyle name="Accent1 3" xfId="108" xr:uid="{00000000-0005-0000-0000-00005C000000}"/>
    <cellStyle name="Accent1 4" xfId="150" xr:uid="{00000000-0005-0000-0000-00005D000000}"/>
    <cellStyle name="Accent1 5" xfId="193" xr:uid="{00000000-0005-0000-0000-00005E000000}"/>
    <cellStyle name="Accent2" xfId="20" builtinId="33" customBuiltin="1"/>
    <cellStyle name="Accent2 2" xfId="66" xr:uid="{00000000-0005-0000-0000-000060000000}"/>
    <cellStyle name="Accent2 3" xfId="109" xr:uid="{00000000-0005-0000-0000-000061000000}"/>
    <cellStyle name="Accent2 4" xfId="151" xr:uid="{00000000-0005-0000-0000-000062000000}"/>
    <cellStyle name="Accent2 5" xfId="194" xr:uid="{00000000-0005-0000-0000-000063000000}"/>
    <cellStyle name="Accent3" xfId="21" builtinId="37" customBuiltin="1"/>
    <cellStyle name="Accent3 2" xfId="67" xr:uid="{00000000-0005-0000-0000-000065000000}"/>
    <cellStyle name="Accent3 3" xfId="110" xr:uid="{00000000-0005-0000-0000-000066000000}"/>
    <cellStyle name="Accent3 4" xfId="152" xr:uid="{00000000-0005-0000-0000-000067000000}"/>
    <cellStyle name="Accent3 5" xfId="195" xr:uid="{00000000-0005-0000-0000-000068000000}"/>
    <cellStyle name="Accent4" xfId="22" builtinId="41" customBuiltin="1"/>
    <cellStyle name="Accent4 2" xfId="68" xr:uid="{00000000-0005-0000-0000-00006A000000}"/>
    <cellStyle name="Accent4 3" xfId="111" xr:uid="{00000000-0005-0000-0000-00006B000000}"/>
    <cellStyle name="Accent4 4" xfId="153" xr:uid="{00000000-0005-0000-0000-00006C000000}"/>
    <cellStyle name="Accent4 5" xfId="196" xr:uid="{00000000-0005-0000-0000-00006D000000}"/>
    <cellStyle name="Accent5" xfId="23" builtinId="45" customBuiltin="1"/>
    <cellStyle name="Accent5 2" xfId="69" xr:uid="{00000000-0005-0000-0000-00006F000000}"/>
    <cellStyle name="Accent5 3" xfId="112" xr:uid="{00000000-0005-0000-0000-000070000000}"/>
    <cellStyle name="Accent5 4" xfId="154" xr:uid="{00000000-0005-0000-0000-000071000000}"/>
    <cellStyle name="Accent5 5" xfId="197" xr:uid="{00000000-0005-0000-0000-000072000000}"/>
    <cellStyle name="Accent6" xfId="24" builtinId="49" customBuiltin="1"/>
    <cellStyle name="Accent6 2" xfId="70" xr:uid="{00000000-0005-0000-0000-000074000000}"/>
    <cellStyle name="Accent6 3" xfId="113" xr:uid="{00000000-0005-0000-0000-000075000000}"/>
    <cellStyle name="Accent6 4" xfId="155" xr:uid="{00000000-0005-0000-0000-000076000000}"/>
    <cellStyle name="Accent6 5" xfId="198" xr:uid="{00000000-0005-0000-0000-000077000000}"/>
    <cellStyle name="Bad" xfId="25" builtinId="27" customBuiltin="1"/>
    <cellStyle name="Bad 2" xfId="71" xr:uid="{00000000-0005-0000-0000-000079000000}"/>
    <cellStyle name="Bad 3" xfId="114" xr:uid="{00000000-0005-0000-0000-00007A000000}"/>
    <cellStyle name="Bad 4" xfId="156" xr:uid="{00000000-0005-0000-0000-00007B000000}"/>
    <cellStyle name="Bad 5" xfId="199" xr:uid="{00000000-0005-0000-0000-00007C000000}"/>
    <cellStyle name="Calculation" xfId="26" builtinId="22" customBuiltin="1"/>
    <cellStyle name="Calculation 2" xfId="72" xr:uid="{00000000-0005-0000-0000-00007E000000}"/>
    <cellStyle name="Calculation 3" xfId="115" xr:uid="{00000000-0005-0000-0000-00007F000000}"/>
    <cellStyle name="Calculation 4" xfId="157" xr:uid="{00000000-0005-0000-0000-000080000000}"/>
    <cellStyle name="Calculation 5" xfId="200" xr:uid="{00000000-0005-0000-0000-000081000000}"/>
    <cellStyle name="Check Cell" xfId="27" builtinId="23" customBuiltin="1"/>
    <cellStyle name="Check Cell 2" xfId="73" xr:uid="{00000000-0005-0000-0000-000083000000}"/>
    <cellStyle name="Check Cell 3" xfId="116" xr:uid="{00000000-0005-0000-0000-000084000000}"/>
    <cellStyle name="Check Cell 4" xfId="158" xr:uid="{00000000-0005-0000-0000-000085000000}"/>
    <cellStyle name="Check Cell 5" xfId="201" xr:uid="{00000000-0005-0000-0000-000086000000}"/>
    <cellStyle name="Comma" xfId="28" builtinId="3"/>
    <cellStyle name="Comma 2" xfId="74" xr:uid="{00000000-0005-0000-0000-000088000000}"/>
    <cellStyle name="Comma 3" xfId="203" xr:uid="{00000000-0005-0000-0000-000089000000}"/>
    <cellStyle name="Comma 4" xfId="204" xr:uid="{00000000-0005-0000-0000-00008A000000}"/>
    <cellStyle name="Comma 5" xfId="202" xr:uid="{00000000-0005-0000-0000-00008B000000}"/>
    <cellStyle name="Comma 5 2" xfId="229" xr:uid="{00000000-0005-0000-0000-00008C000000}"/>
    <cellStyle name="Currency" xfId="29" builtinId="4"/>
    <cellStyle name="Currency 2" xfId="75" xr:uid="{00000000-0005-0000-0000-00008E000000}"/>
    <cellStyle name="Currency 3" xfId="117" xr:uid="{00000000-0005-0000-0000-00008F000000}"/>
    <cellStyle name="Currency 4" xfId="159" xr:uid="{00000000-0005-0000-0000-000090000000}"/>
    <cellStyle name="Currency 5" xfId="206" xr:uid="{00000000-0005-0000-0000-000091000000}"/>
    <cellStyle name="Currency 6" xfId="207" xr:uid="{00000000-0005-0000-0000-000092000000}"/>
    <cellStyle name="Currency 7" xfId="205" xr:uid="{00000000-0005-0000-0000-000093000000}"/>
    <cellStyle name="Currency 7 2" xfId="230" xr:uid="{00000000-0005-0000-0000-000094000000}"/>
    <cellStyle name="Explanatory Text" xfId="30" builtinId="53" customBuiltin="1"/>
    <cellStyle name="Explanatory Text 2" xfId="76" xr:uid="{00000000-0005-0000-0000-000096000000}"/>
    <cellStyle name="Explanatory Text 3" xfId="118" xr:uid="{00000000-0005-0000-0000-000097000000}"/>
    <cellStyle name="Explanatory Text 4" xfId="160" xr:uid="{00000000-0005-0000-0000-000098000000}"/>
    <cellStyle name="Explanatory Text 5" xfId="208" xr:uid="{00000000-0005-0000-0000-000099000000}"/>
    <cellStyle name="Good" xfId="31" builtinId="26" customBuiltin="1"/>
    <cellStyle name="Good 2" xfId="77" xr:uid="{00000000-0005-0000-0000-00009B000000}"/>
    <cellStyle name="Good 3" xfId="119" xr:uid="{00000000-0005-0000-0000-00009C000000}"/>
    <cellStyle name="Good 4" xfId="161" xr:uid="{00000000-0005-0000-0000-00009D000000}"/>
    <cellStyle name="Good 5" xfId="209" xr:uid="{00000000-0005-0000-0000-00009E000000}"/>
    <cellStyle name="Heading 1" xfId="32" builtinId="16" customBuiltin="1"/>
    <cellStyle name="Heading 1 2" xfId="78" xr:uid="{00000000-0005-0000-0000-0000A0000000}"/>
    <cellStyle name="Heading 1 3" xfId="120" xr:uid="{00000000-0005-0000-0000-0000A1000000}"/>
    <cellStyle name="Heading 1 4" xfId="162" xr:uid="{00000000-0005-0000-0000-0000A2000000}"/>
    <cellStyle name="Heading 1 5" xfId="210" xr:uid="{00000000-0005-0000-0000-0000A3000000}"/>
    <cellStyle name="Heading 2" xfId="33" builtinId="17" customBuiltin="1"/>
    <cellStyle name="Heading 2 2" xfId="79" xr:uid="{00000000-0005-0000-0000-0000A5000000}"/>
    <cellStyle name="Heading 2 3" xfId="121" xr:uid="{00000000-0005-0000-0000-0000A6000000}"/>
    <cellStyle name="Heading 2 4" xfId="163" xr:uid="{00000000-0005-0000-0000-0000A7000000}"/>
    <cellStyle name="Heading 2 5" xfId="211" xr:uid="{00000000-0005-0000-0000-0000A8000000}"/>
    <cellStyle name="Heading 3" xfId="34" builtinId="18" customBuiltin="1"/>
    <cellStyle name="Heading 3 2" xfId="80" xr:uid="{00000000-0005-0000-0000-0000AA000000}"/>
    <cellStyle name="Heading 3 3" xfId="122" xr:uid="{00000000-0005-0000-0000-0000AB000000}"/>
    <cellStyle name="Heading 3 4" xfId="164" xr:uid="{00000000-0005-0000-0000-0000AC000000}"/>
    <cellStyle name="Heading 3 5" xfId="212" xr:uid="{00000000-0005-0000-0000-0000AD000000}"/>
    <cellStyle name="Heading 4" xfId="35" builtinId="19" customBuiltin="1"/>
    <cellStyle name="Heading 4 2" xfId="81" xr:uid="{00000000-0005-0000-0000-0000AF000000}"/>
    <cellStyle name="Heading 4 3" xfId="123" xr:uid="{00000000-0005-0000-0000-0000B0000000}"/>
    <cellStyle name="Heading 4 4" xfId="165" xr:uid="{00000000-0005-0000-0000-0000B1000000}"/>
    <cellStyle name="Heading 4 5" xfId="213" xr:uid="{00000000-0005-0000-0000-0000B2000000}"/>
    <cellStyle name="Input" xfId="36" builtinId="20" customBuiltin="1"/>
    <cellStyle name="Input 2" xfId="82" xr:uid="{00000000-0005-0000-0000-0000B4000000}"/>
    <cellStyle name="Input 3" xfId="124" xr:uid="{00000000-0005-0000-0000-0000B5000000}"/>
    <cellStyle name="Input 4" xfId="166" xr:uid="{00000000-0005-0000-0000-0000B6000000}"/>
    <cellStyle name="Input 5" xfId="214" xr:uid="{00000000-0005-0000-0000-0000B7000000}"/>
    <cellStyle name="Linked Cell" xfId="37" builtinId="24" customBuiltin="1"/>
    <cellStyle name="Linked Cell 2" xfId="83" xr:uid="{00000000-0005-0000-0000-0000B9000000}"/>
    <cellStyle name="Linked Cell 3" xfId="125" xr:uid="{00000000-0005-0000-0000-0000BA000000}"/>
    <cellStyle name="Linked Cell 4" xfId="167" xr:uid="{00000000-0005-0000-0000-0000BB000000}"/>
    <cellStyle name="Linked Cell 5" xfId="215" xr:uid="{00000000-0005-0000-0000-0000BC000000}"/>
    <cellStyle name="Neutral" xfId="38" builtinId="28" customBuiltin="1"/>
    <cellStyle name="Neutral 2" xfId="84" xr:uid="{00000000-0005-0000-0000-0000BE000000}"/>
    <cellStyle name="Neutral 3" xfId="126" xr:uid="{00000000-0005-0000-0000-0000BF000000}"/>
    <cellStyle name="Neutral 4" xfId="168" xr:uid="{00000000-0005-0000-0000-0000C0000000}"/>
    <cellStyle name="Neutral 5" xfId="216" xr:uid="{00000000-0005-0000-0000-0000C1000000}"/>
    <cellStyle name="Normal" xfId="0" builtinId="0"/>
    <cellStyle name="Normal 2" xfId="217" xr:uid="{00000000-0005-0000-0000-0000C3000000}"/>
    <cellStyle name="Normal 2 2" xfId="46" xr:uid="{00000000-0005-0000-0000-0000C4000000}"/>
    <cellStyle name="Normal 2 2 2" xfId="218" xr:uid="{00000000-0005-0000-0000-0000C5000000}"/>
    <cellStyle name="Normal 2 3" xfId="228" xr:uid="{00000000-0005-0000-0000-0000C6000000}"/>
    <cellStyle name="Normal 3" xfId="219" xr:uid="{00000000-0005-0000-0000-0000C7000000}"/>
    <cellStyle name="Normal 4" xfId="174" xr:uid="{00000000-0005-0000-0000-0000C8000000}"/>
    <cellStyle name="Normal 4 2" xfId="227" xr:uid="{00000000-0005-0000-0000-0000C9000000}"/>
    <cellStyle name="Normal 5" xfId="226" xr:uid="{00000000-0005-0000-0000-0000CA000000}"/>
    <cellStyle name="Normal_Copy of Avoided Cost adjusted Final" xfId="39" xr:uid="{00000000-0005-0000-0000-0000CB000000}"/>
    <cellStyle name="Note" xfId="40" builtinId="10" customBuiltin="1"/>
    <cellStyle name="Note 2" xfId="85" xr:uid="{00000000-0005-0000-0000-0000CE000000}"/>
    <cellStyle name="Note 3" xfId="127" xr:uid="{00000000-0005-0000-0000-0000CF000000}"/>
    <cellStyle name="Note 4" xfId="169" xr:uid="{00000000-0005-0000-0000-0000D0000000}"/>
    <cellStyle name="Note 5" xfId="220" xr:uid="{00000000-0005-0000-0000-0000D1000000}"/>
    <cellStyle name="Output" xfId="41" builtinId="21" customBuiltin="1"/>
    <cellStyle name="Output 2" xfId="86" xr:uid="{00000000-0005-0000-0000-0000D3000000}"/>
    <cellStyle name="Output 3" xfId="128" xr:uid="{00000000-0005-0000-0000-0000D4000000}"/>
    <cellStyle name="Output 4" xfId="170" xr:uid="{00000000-0005-0000-0000-0000D5000000}"/>
    <cellStyle name="Output 5" xfId="221" xr:uid="{00000000-0005-0000-0000-0000D6000000}"/>
    <cellStyle name="Percent" xfId="42" builtinId="5"/>
    <cellStyle name="Percent 2" xfId="222" xr:uid="{00000000-0005-0000-0000-0000D8000000}"/>
    <cellStyle name="Title" xfId="43" builtinId="15" customBuiltin="1"/>
    <cellStyle name="Title 2" xfId="87" xr:uid="{00000000-0005-0000-0000-0000DA000000}"/>
    <cellStyle name="Title 3" xfId="129" xr:uid="{00000000-0005-0000-0000-0000DB000000}"/>
    <cellStyle name="Title 4" xfId="171" xr:uid="{00000000-0005-0000-0000-0000DC000000}"/>
    <cellStyle name="Title 5" xfId="223" xr:uid="{00000000-0005-0000-0000-0000DD000000}"/>
    <cellStyle name="Total" xfId="44" builtinId="25" customBuiltin="1"/>
    <cellStyle name="Total 2" xfId="88" xr:uid="{00000000-0005-0000-0000-0000DF000000}"/>
    <cellStyle name="Total 3" xfId="130" xr:uid="{00000000-0005-0000-0000-0000E0000000}"/>
    <cellStyle name="Total 4" xfId="172" xr:uid="{00000000-0005-0000-0000-0000E1000000}"/>
    <cellStyle name="Total 5" xfId="224" xr:uid="{00000000-0005-0000-0000-0000E2000000}"/>
    <cellStyle name="Warning Text" xfId="45" builtinId="11" customBuiltin="1"/>
    <cellStyle name="Warning Text 2" xfId="89" xr:uid="{00000000-0005-0000-0000-0000E4000000}"/>
    <cellStyle name="Warning Text 3" xfId="131" xr:uid="{00000000-0005-0000-0000-0000E5000000}"/>
    <cellStyle name="Warning Text 4" xfId="173" xr:uid="{00000000-0005-0000-0000-0000E6000000}"/>
    <cellStyle name="Warning Text 5" xfId="225" xr:uid="{00000000-0005-0000-0000-0000E7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DaveB/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misc%20not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ENERGY%20EFFICIENCY/ANNUAL%20REPORTING/Annual%20Report%202021/Low%20Income%20Report/Annual%20Report%202021%20Low%20Income%20W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TOTAL 1ST YEAR by MEASURE"/>
      <sheetName val="2021 WA LIW ACTUALS"/>
      <sheetName val="APP 2885"/>
      <sheetName val="2021 CNG GL"/>
      <sheetName val="Project Detail"/>
      <sheetName val="2020 Therms"/>
    </sheetNames>
    <sheetDataSet>
      <sheetData sheetId="0" refreshError="1"/>
      <sheetData sheetId="1"/>
      <sheetData sheetId="2">
        <row r="10">
          <cell r="B10">
            <v>1</v>
          </cell>
          <cell r="C10">
            <v>0.88445163236383117</v>
          </cell>
          <cell r="D10">
            <v>0.88445163236383117</v>
          </cell>
          <cell r="E10">
            <v>0.88445163236383117</v>
          </cell>
          <cell r="F10">
            <v>0.1</v>
          </cell>
          <cell r="G10">
            <v>0.97289679560021436</v>
          </cell>
          <cell r="H10">
            <v>0.57011051999999995</v>
          </cell>
        </row>
        <row r="11">
          <cell r="B11">
            <v>2</v>
          </cell>
          <cell r="C11">
            <v>0.81371500359565097</v>
          </cell>
          <cell r="D11">
            <v>0.84138131371790315</v>
          </cell>
          <cell r="E11">
            <v>1.7258329460817343</v>
          </cell>
          <cell r="F11">
            <v>0.1</v>
          </cell>
          <cell r="G11">
            <v>1.8984162406899079</v>
          </cell>
          <cell r="H11">
            <v>0.57615605137735904</v>
          </cell>
        </row>
        <row r="12">
          <cell r="B12">
            <v>3</v>
          </cell>
          <cell r="C12">
            <v>0.76115943272610243</v>
          </cell>
          <cell r="D12">
            <v>0.81379817445570879</v>
          </cell>
          <cell r="E12">
            <v>2.5396311205374431</v>
          </cell>
          <cell r="F12">
            <v>0.1</v>
          </cell>
          <cell r="G12">
            <v>2.7935942325911878</v>
          </cell>
          <cell r="H12">
            <v>0.58293196065410902</v>
          </cell>
        </row>
        <row r="13">
          <cell r="B13">
            <v>4</v>
          </cell>
          <cell r="C13">
            <v>0.75798388048815024</v>
          </cell>
          <cell r="D13">
            <v>0.83795671619391321</v>
          </cell>
          <cell r="E13">
            <v>3.3775878367313563</v>
          </cell>
          <cell r="F13">
            <v>0.1</v>
          </cell>
          <cell r="G13">
            <v>3.715346620404492</v>
          </cell>
          <cell r="H13">
            <v>0.58975943021046795</v>
          </cell>
        </row>
        <row r="14">
          <cell r="B14">
            <v>5</v>
          </cell>
          <cell r="C14">
            <v>0.77075836546405829</v>
          </cell>
          <cell r="D14">
            <v>0.88104968872936473</v>
          </cell>
          <cell r="E14">
            <v>4.2586375254607214</v>
          </cell>
          <cell r="F14">
            <v>0.1</v>
          </cell>
          <cell r="G14">
            <v>4.6845012780067936</v>
          </cell>
          <cell r="H14">
            <v>0.61455510299969196</v>
          </cell>
        </row>
        <row r="15">
          <cell r="B15">
            <v>6</v>
          </cell>
          <cell r="C15">
            <v>0.76378755722747937</v>
          </cell>
          <cell r="D15">
            <v>0.90276616326625003</v>
          </cell>
          <cell r="E15">
            <v>5.1614036887269714</v>
          </cell>
          <cell r="F15">
            <v>0.1</v>
          </cell>
          <cell r="G15">
            <v>5.6775440575996692</v>
          </cell>
          <cell r="H15">
            <v>0.629247118316003</v>
          </cell>
        </row>
        <row r="16">
          <cell r="B16">
            <v>7</v>
          </cell>
          <cell r="C16">
            <v>0.74933499617350652</v>
          </cell>
          <cell r="D16">
            <v>0.91579706736600974</v>
          </cell>
          <cell r="E16">
            <v>6.0772007560929815</v>
          </cell>
          <cell r="F16">
            <v>0.1</v>
          </cell>
          <cell r="G16">
            <v>6.6849208317022804</v>
          </cell>
          <cell r="H16">
            <v>0.64174689766763904</v>
          </cell>
        </row>
        <row r="17">
          <cell r="B17">
            <v>8</v>
          </cell>
          <cell r="C17">
            <v>0.72707320786116503</v>
          </cell>
          <cell r="D17">
            <v>0.91880195964036115</v>
          </cell>
          <cell r="E17">
            <v>6.9960027157333426</v>
          </cell>
          <cell r="F17">
            <v>0.1</v>
          </cell>
          <cell r="G17">
            <v>7.6956029873066774</v>
          </cell>
          <cell r="H17">
            <v>0.65668675188056402</v>
          </cell>
        </row>
        <row r="18">
          <cell r="B18">
            <v>9</v>
          </cell>
          <cell r="C18">
            <v>0.7149322508405066</v>
          </cell>
          <cell r="D18">
            <v>0.93417706077384166</v>
          </cell>
          <cell r="E18">
            <v>7.9301797765071846</v>
          </cell>
          <cell r="F18">
            <v>0.1</v>
          </cell>
          <cell r="G18">
            <v>8.7231977541579031</v>
          </cell>
          <cell r="H18">
            <v>0.671362515855918</v>
          </cell>
        </row>
        <row r="19">
          <cell r="B19">
            <v>10</v>
          </cell>
          <cell r="C19">
            <v>0.70356791294168164</v>
          </cell>
          <cell r="D19">
            <v>0.95058481742366419</v>
          </cell>
          <cell r="E19">
            <v>8.8807645939308486</v>
          </cell>
          <cell r="F19">
            <v>0.1</v>
          </cell>
          <cell r="G19">
            <v>9.7688410533239338</v>
          </cell>
          <cell r="H19">
            <v>0.70168753835864495</v>
          </cell>
        </row>
        <row r="20">
          <cell r="B20">
            <v>11</v>
          </cell>
          <cell r="C20">
            <v>0.6851545172570157</v>
          </cell>
          <cell r="D20">
            <v>0.95718065546171105</v>
          </cell>
          <cell r="E20">
            <v>9.8379452493925594</v>
          </cell>
          <cell r="F20">
            <v>0.1</v>
          </cell>
          <cell r="G20">
            <v>10.821739774331816</v>
          </cell>
          <cell r="H20">
            <v>0.71753017552309395</v>
          </cell>
        </row>
        <row r="21">
          <cell r="B21">
            <v>12</v>
          </cell>
          <cell r="C21">
            <v>0.67625670713780228</v>
          </cell>
          <cell r="D21">
            <v>0.97687166301819628</v>
          </cell>
          <cell r="E21">
            <v>10.814816912410755</v>
          </cell>
          <cell r="F21">
            <v>0.1</v>
          </cell>
          <cell r="G21">
            <v>11.896298603651832</v>
          </cell>
          <cell r="H21">
            <v>0.73540219867662504</v>
          </cell>
        </row>
        <row r="22">
          <cell r="B22">
            <v>13</v>
          </cell>
          <cell r="C22">
            <v>0.66587008865652375</v>
          </cell>
          <cell r="D22">
            <v>0.99457141181766762</v>
          </cell>
          <cell r="E22">
            <v>11.809388324228422</v>
          </cell>
          <cell r="F22">
            <v>0.1</v>
          </cell>
          <cell r="G22">
            <v>12.990327156651265</v>
          </cell>
          <cell r="H22">
            <v>0.75283800222888697</v>
          </cell>
        </row>
        <row r="23">
          <cell r="B23">
            <v>14</v>
          </cell>
          <cell r="C23">
            <v>0.64881311732878166</v>
          </cell>
          <cell r="D23">
            <v>1.0020436159092017</v>
          </cell>
          <cell r="E23">
            <v>12.811431940137624</v>
          </cell>
          <cell r="F23">
            <v>0.1</v>
          </cell>
          <cell r="G23">
            <v>14.092575134151387</v>
          </cell>
          <cell r="H23">
            <v>0.77211629283704597</v>
          </cell>
        </row>
        <row r="24">
          <cell r="B24">
            <v>15</v>
          </cell>
          <cell r="C24">
            <v>0.63835970106897866</v>
          </cell>
          <cell r="D24">
            <v>1.0194196609012849</v>
          </cell>
          <cell r="E24">
            <v>13.830851601038908</v>
          </cell>
          <cell r="F24">
            <v>0.1</v>
          </cell>
          <cell r="G24">
            <v>15.213936761142801</v>
          </cell>
          <cell r="H24">
            <v>0.81064038086745605</v>
          </cell>
        </row>
        <row r="25">
          <cell r="B25">
            <v>16</v>
          </cell>
          <cell r="C25">
            <v>0.62567375799839731</v>
          </cell>
          <cell r="D25">
            <v>1.0331324949498273</v>
          </cell>
          <cell r="E25">
            <v>14.863984095988735</v>
          </cell>
          <cell r="F25">
            <v>0.1</v>
          </cell>
          <cell r="G25">
            <v>16.350382505587611</v>
          </cell>
          <cell r="H25">
            <v>0.83101695530386399</v>
          </cell>
        </row>
        <row r="26">
          <cell r="B26">
            <v>17</v>
          </cell>
          <cell r="C26">
            <v>0.61894833994618093</v>
          </cell>
          <cell r="D26">
            <v>1.0567761970079774</v>
          </cell>
          <cell r="E26">
            <v>15.920760292996713</v>
          </cell>
          <cell r="F26">
            <v>0.1</v>
          </cell>
          <cell r="G26">
            <v>17.512836322296387</v>
          </cell>
          <cell r="H26">
            <v>0.85329665766642104</v>
          </cell>
        </row>
        <row r="27">
          <cell r="B27">
            <v>18</v>
          </cell>
          <cell r="C27">
            <v>0.61107179398866485</v>
          </cell>
          <cell r="D27">
            <v>1.078801140190391</v>
          </cell>
          <cell r="E27">
            <v>16.999561433187104</v>
          </cell>
          <cell r="F27">
            <v>0.1</v>
          </cell>
          <cell r="G27">
            <v>18.699517576505816</v>
          </cell>
          <cell r="H27">
            <v>0.87508084147130905</v>
          </cell>
        </row>
        <row r="28">
          <cell r="B28">
            <v>19</v>
          </cell>
          <cell r="C28">
            <v>0.60374811403143069</v>
          </cell>
          <cell r="D28">
            <v>1.1021113748980613</v>
          </cell>
          <cell r="E28">
            <v>18.101672808085166</v>
          </cell>
          <cell r="F28">
            <v>0.1</v>
          </cell>
          <cell r="G28">
            <v>19.911840088893683</v>
          </cell>
          <cell r="H28">
            <v>0.897067740402681</v>
          </cell>
        </row>
        <row r="29">
          <cell r="B29">
            <v>20</v>
          </cell>
          <cell r="C29">
            <v>0.59154544035996659</v>
          </cell>
          <cell r="D29">
            <v>1.1165504413430951</v>
          </cell>
          <cell r="E29">
            <v>19.218223249428259</v>
          </cell>
          <cell r="F29">
            <v>0.1</v>
          </cell>
          <cell r="G29">
            <v>21.140045574371086</v>
          </cell>
          <cell r="H29">
            <v>0.91930355234543903</v>
          </cell>
        </row>
        <row r="30">
          <cell r="B30">
            <v>21</v>
          </cell>
          <cell r="C30">
            <v>0.58353612105141783</v>
          </cell>
          <cell r="D30">
            <v>1.1388814501699571</v>
          </cell>
          <cell r="E30">
            <v>20.357104699598217</v>
          </cell>
          <cell r="F30">
            <v>0.1</v>
          </cell>
          <cell r="G30">
            <v>22.392815169558041</v>
          </cell>
          <cell r="H30">
            <v>0.96256067436903203</v>
          </cell>
        </row>
        <row r="31">
          <cell r="B31">
            <v>22</v>
          </cell>
          <cell r="C31">
            <v>0.57563524513776232</v>
          </cell>
          <cell r="D31">
            <v>1.1616590791733563</v>
          </cell>
          <cell r="E31">
            <v>21.518763778771575</v>
          </cell>
          <cell r="F31">
            <v>0.1</v>
          </cell>
          <cell r="G31">
            <v>23.670640156648734</v>
          </cell>
          <cell r="H31">
            <v>0.98552212265613304</v>
          </cell>
        </row>
        <row r="32">
          <cell r="B32">
            <v>23</v>
          </cell>
          <cell r="C32">
            <v>0.56784134433318922</v>
          </cell>
          <cell r="D32">
            <v>1.1848922607568235</v>
          </cell>
          <cell r="E32">
            <v>22.703656039528397</v>
          </cell>
          <cell r="F32">
            <v>0.1</v>
          </cell>
          <cell r="G32">
            <v>24.97402164348124</v>
          </cell>
          <cell r="H32">
            <v>1.0086464310452701</v>
          </cell>
        </row>
        <row r="33">
          <cell r="B33">
            <v>24</v>
          </cell>
          <cell r="C33">
            <v>0.56015297023196597</v>
          </cell>
          <cell r="D33">
            <v>1.2085901059719599</v>
          </cell>
          <cell r="E33">
            <v>23.912246145500358</v>
          </cell>
          <cell r="F33">
            <v>0.1</v>
          </cell>
          <cell r="G33">
            <v>26.303470760050395</v>
          </cell>
          <cell r="H33">
            <v>1.03195880055061</v>
          </cell>
        </row>
        <row r="34">
          <cell r="B34">
            <v>25</v>
          </cell>
          <cell r="C34">
            <v>0.55256869403927023</v>
          </cell>
          <cell r="D34">
            <v>1.2327619080913992</v>
          </cell>
          <cell r="E34">
            <v>25.145008053591756</v>
          </cell>
          <cell r="F34">
            <v>0.1</v>
          </cell>
          <cell r="G34">
            <v>27.659508858950932</v>
          </cell>
          <cell r="H34">
            <v>1.0554809412422199</v>
          </cell>
        </row>
        <row r="35">
          <cell r="B35">
            <v>26</v>
          </cell>
          <cell r="C35">
            <v>0.54508710630566315</v>
          </cell>
          <cell r="D35">
            <v>1.2574171462532271</v>
          </cell>
          <cell r="E35">
            <v>26.402425199844984</v>
          </cell>
          <cell r="F35">
            <v>0.1</v>
          </cell>
          <cell r="G35">
            <v>29.042667719829485</v>
          </cell>
          <cell r="H35">
            <v>1.1026933043184499</v>
          </cell>
        </row>
        <row r="36">
          <cell r="B36">
            <v>27</v>
          </cell>
          <cell r="C36">
            <v>0.53770681666516085</v>
          </cell>
          <cell r="D36">
            <v>1.2825654891782916</v>
          </cell>
          <cell r="E36">
            <v>27.684990689023277</v>
          </cell>
          <cell r="F36">
            <v>0.1</v>
          </cell>
          <cell r="G36">
            <v>30.453489757925606</v>
          </cell>
          <cell r="H36">
            <v>1.1272110200121499</v>
          </cell>
        </row>
        <row r="37">
          <cell r="B37">
            <v>28</v>
          </cell>
          <cell r="C37">
            <v>0.53042645357685103</v>
          </cell>
          <cell r="D37">
            <v>1.3082167989618574</v>
          </cell>
          <cell r="E37">
            <v>28.993207487985135</v>
          </cell>
          <cell r="F37">
            <v>0.1</v>
          </cell>
          <cell r="G37">
            <v>31.892528236783651</v>
          </cell>
          <cell r="H37">
            <v>1.1519943575740099</v>
          </cell>
        </row>
        <row r="38">
          <cell r="B38">
            <v>29</v>
          </cell>
          <cell r="C38">
            <v>0.52324466407000791</v>
          </cell>
          <cell r="D38">
            <v>1.3343811349410946</v>
          </cell>
          <cell r="E38">
            <v>30.327588622926228</v>
          </cell>
          <cell r="F38">
            <v>0.1</v>
          </cell>
          <cell r="G38">
            <v>33.360347485218853</v>
          </cell>
          <cell r="H38">
            <v>1.1770567561259799</v>
          </cell>
        </row>
        <row r="39">
          <cell r="B39">
            <v>30</v>
          </cell>
          <cell r="C39">
            <v>0.51616011349265778</v>
          </cell>
          <cell r="D39">
            <v>1.3610687576399165</v>
          </cell>
          <cell r="E39">
            <v>31.688657380566145</v>
          </cell>
          <cell r="F39">
            <v>0.1</v>
          </cell>
          <cell r="G39">
            <v>34.857523118622765</v>
          </cell>
          <cell r="H39">
            <v>1.2024103291102399</v>
          </cell>
        </row>
        <row r="40">
          <cell r="B40">
            <v>31</v>
          </cell>
          <cell r="C40">
            <v>0.50917148526355016</v>
          </cell>
          <cell r="D40">
            <v>1.3882901327927148</v>
          </cell>
          <cell r="E40">
            <v>33.07694751335886</v>
          </cell>
          <cell r="F40">
            <v>0.1</v>
          </cell>
          <cell r="G40">
            <v>36.384642264694747</v>
          </cell>
          <cell r="H40">
            <v>1.2541951448828901</v>
          </cell>
        </row>
        <row r="41">
          <cell r="B41">
            <v>32</v>
          </cell>
          <cell r="C41">
            <v>0.50227748062748667</v>
          </cell>
          <cell r="D41">
            <v>1.4160559354485691</v>
          </cell>
          <cell r="E41">
            <v>34.493003448807428</v>
          </cell>
          <cell r="F41">
            <v>0.1</v>
          </cell>
          <cell r="G41">
            <v>37.942303793688176</v>
          </cell>
          <cell r="H41">
            <v>1.2807156499932999</v>
          </cell>
        </row>
        <row r="42">
          <cell r="B42">
            <v>33</v>
          </cell>
          <cell r="C42">
            <v>0.49547681841396168</v>
          </cell>
          <cell r="D42">
            <v>1.4443770541575405</v>
          </cell>
          <cell r="E42">
            <v>35.93738050296497</v>
          </cell>
          <cell r="F42">
            <v>0.1</v>
          </cell>
          <cell r="G42">
            <v>39.531118553261472</v>
          </cell>
          <cell r="H42">
            <v>1.30756451467569</v>
          </cell>
        </row>
        <row r="43">
          <cell r="B43">
            <v>34</v>
          </cell>
          <cell r="C43">
            <v>0.48876823479907244</v>
          </cell>
          <cell r="D43">
            <v>1.4732645952406913</v>
          </cell>
          <cell r="E43">
            <v>37.410645098205663</v>
          </cell>
          <cell r="F43">
            <v>0.1</v>
          </cell>
          <cell r="G43">
            <v>41.151709608026231</v>
          </cell>
          <cell r="H43">
            <v>1.33475052162326</v>
          </cell>
        </row>
        <row r="44">
          <cell r="B44">
            <v>35</v>
          </cell>
          <cell r="C44">
            <v>0.48215048307065178</v>
          </cell>
          <cell r="D44">
            <v>1.5027298871455053</v>
          </cell>
          <cell r="E44">
            <v>38.913374985351169</v>
          </cell>
          <cell r="F44">
            <v>0.1</v>
          </cell>
          <cell r="G44">
            <v>42.804712483886291</v>
          </cell>
          <cell r="H44">
            <v>1.3622818643825101</v>
          </cell>
        </row>
        <row r="45">
          <cell r="B45">
            <v>36</v>
          </cell>
          <cell r="C45">
            <v>0.47562233339658105</v>
          </cell>
          <cell r="D45">
            <v>1.5327844848884153</v>
          </cell>
          <cell r="E45">
            <v>40.446159470239586</v>
          </cell>
          <cell r="F45">
            <v>0.1</v>
          </cell>
          <cell r="G45">
            <v>44.490775417263549</v>
          </cell>
          <cell r="H45">
            <v>1.3901662306967699</v>
          </cell>
        </row>
        <row r="46">
          <cell r="B46">
            <v>37</v>
          </cell>
          <cell r="C46">
            <v>0.46918257259624058</v>
          </cell>
          <cell r="D46">
            <v>1.5634401745861837</v>
          </cell>
          <cell r="E46">
            <v>42.009599644825769</v>
          </cell>
          <cell r="F46">
            <v>0.1</v>
          </cell>
          <cell r="G46">
            <v>46.210559609308348</v>
          </cell>
          <cell r="H46">
            <v>1.41841087242749</v>
          </cell>
        </row>
        <row r="47">
          <cell r="B47">
            <v>38</v>
          </cell>
          <cell r="C47">
            <v>0.46283000391505358</v>
          </cell>
          <cell r="D47">
            <v>1.5947089780779073</v>
          </cell>
          <cell r="E47">
            <v>43.604308622903673</v>
          </cell>
          <cell r="F47">
            <v>0.1</v>
          </cell>
          <cell r="G47">
            <v>47.964739485194045</v>
          </cell>
          <cell r="H47">
            <v>1.4470226645295901</v>
          </cell>
        </row>
        <row r="48">
          <cell r="B48">
            <v>39</v>
          </cell>
          <cell r="C48">
            <v>0.45656344680208383</v>
          </cell>
          <cell r="D48">
            <v>1.6266031576394655</v>
          </cell>
          <cell r="E48">
            <v>45.230911780543138</v>
          </cell>
          <cell r="F48">
            <v>0.1</v>
          </cell>
          <cell r="G48">
            <v>49.754002958597454</v>
          </cell>
          <cell r="H48">
            <v>1.4760081550492099</v>
          </cell>
        </row>
        <row r="49">
          <cell r="B49">
            <v>40</v>
          </cell>
          <cell r="C49">
            <v>0.45038173669064363</v>
          </cell>
          <cell r="D49">
            <v>1.6591352207922549</v>
          </cell>
          <cell r="E49">
            <v>46.890047001335397</v>
          </cell>
          <cell r="F49">
            <v>0.1</v>
          </cell>
          <cell r="G49">
            <v>51.579051701468941</v>
          </cell>
          <cell r="H49">
            <v>1.5053736077183399</v>
          </cell>
        </row>
        <row r="50">
          <cell r="B50">
            <v>41</v>
          </cell>
          <cell r="C50">
            <v>0.44428372478187284</v>
          </cell>
          <cell r="D50">
            <v>1.6923179252081</v>
          </cell>
          <cell r="E50">
            <v>48.582364926543498</v>
          </cell>
          <cell r="F50">
            <v>0.1</v>
          </cell>
          <cell r="G50">
            <v>53.440601419197854</v>
          </cell>
          <cell r="H50">
            <v>1.53512503841349</v>
          </cell>
        </row>
        <row r="51">
          <cell r="B51">
            <v>42</v>
          </cell>
          <cell r="C51">
            <v>0.43826827783124789</v>
          </cell>
          <cell r="D51">
            <v>1.7261642837122619</v>
          </cell>
          <cell r="E51">
            <v>50.308529210255763</v>
          </cell>
          <cell r="F51">
            <v>0.1</v>
          </cell>
          <cell r="G51">
            <v>55.339382131281347</v>
          </cell>
          <cell r="H51">
            <v>1.5652682465040999</v>
          </cell>
        </row>
        <row r="52">
          <cell r="B52">
            <v>43</v>
          </cell>
          <cell r="C52">
            <v>0.43233427793798146</v>
          </cell>
          <cell r="D52">
            <v>1.7606875693865072</v>
          </cell>
          <cell r="E52">
            <v>52.069216779642268</v>
          </cell>
          <cell r="F52">
            <v>0.1</v>
          </cell>
          <cell r="G52">
            <v>57.2761384576065</v>
          </cell>
          <cell r="H52">
            <v>1.5958088419255401</v>
          </cell>
        </row>
        <row r="53">
          <cell r="B53">
            <v>44</v>
          </cell>
          <cell r="C53">
            <v>0.42648062233727368</v>
          </cell>
          <cell r="D53">
            <v>1.7959013207742374</v>
          </cell>
          <cell r="E53">
            <v>53.865118100416503</v>
          </cell>
          <cell r="F53">
            <v>0.1</v>
          </cell>
          <cell r="G53">
            <v>59.251629910458156</v>
          </cell>
          <cell r="H53">
            <v>1.62675226865943</v>
          </cell>
        </row>
        <row r="54">
          <cell r="B54">
            <v>45</v>
          </cell>
          <cell r="C54">
            <v>0.42070622319537654</v>
          </cell>
          <cell r="D54">
            <v>1.8318193471897222</v>
          </cell>
          <cell r="E54">
            <v>55.696937447606224</v>
          </cell>
          <cell r="F54">
            <v>0.1</v>
          </cell>
          <cell r="G54">
            <v>61.266631192366852</v>
          </cell>
          <cell r="H54">
            <v>1.65810382518273</v>
          </cell>
        </row>
      </sheetData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55F0E-4F1B-4258-9BEB-479C1755BCDC}">
  <dimension ref="A1:R26"/>
  <sheetViews>
    <sheetView tabSelected="1" zoomScaleNormal="100" workbookViewId="0">
      <selection activeCell="B26" sqref="B26"/>
    </sheetView>
  </sheetViews>
  <sheetFormatPr defaultColWidth="18.33203125" defaultRowHeight="12.75" x14ac:dyDescent="0.2"/>
  <cols>
    <col min="1" max="1" width="50.1640625" style="13" bestFit="1" customWidth="1"/>
    <col min="2" max="2" width="18.1640625" style="13" bestFit="1" customWidth="1"/>
    <col min="3" max="3" width="20" style="1" bestFit="1" customWidth="1"/>
    <col min="4" max="4" width="17" style="13" customWidth="1"/>
    <col min="5" max="5" width="16" style="1" customWidth="1"/>
    <col min="6" max="6" width="16" style="13" customWidth="1"/>
    <col min="7" max="7" width="17.5" style="13" bestFit="1" customWidth="1"/>
    <col min="8" max="8" width="24.1640625" style="13" bestFit="1" customWidth="1"/>
    <col min="9" max="9" width="21.1640625" style="26" customWidth="1"/>
    <col min="10" max="10" width="20.33203125" style="1" bestFit="1" customWidth="1"/>
    <col min="11" max="11" width="25" style="13" bestFit="1" customWidth="1"/>
    <col min="12" max="12" width="17" style="13" bestFit="1" customWidth="1"/>
    <col min="13" max="13" width="21" style="1" bestFit="1" customWidth="1"/>
    <col min="14" max="14" width="13.6640625" style="13" customWidth="1"/>
    <col min="15" max="15" width="3.1640625" style="1" customWidth="1"/>
    <col min="16" max="16" width="21.83203125" style="1" bestFit="1" customWidth="1"/>
    <col min="17" max="17" width="22.6640625" style="13" bestFit="1" customWidth="1"/>
    <col min="18" max="18" width="13.6640625" style="13" customWidth="1"/>
    <col min="19" max="16384" width="18.33203125" style="13"/>
  </cols>
  <sheetData>
    <row r="1" spans="1:18" x14ac:dyDescent="0.2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x14ac:dyDescent="0.2">
      <c r="A2" s="37" t="s">
        <v>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8" x14ac:dyDescent="0.2">
      <c r="A3" s="39" t="s">
        <v>11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8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s="2" customFormat="1" ht="57" customHeight="1" thickBot="1" x14ac:dyDescent="0.25">
      <c r="A5" s="27" t="s">
        <v>1</v>
      </c>
      <c r="B5" s="27" t="s">
        <v>6</v>
      </c>
      <c r="C5" s="27" t="s">
        <v>55</v>
      </c>
      <c r="D5" s="27" t="s">
        <v>47</v>
      </c>
      <c r="E5" s="27" t="s">
        <v>57</v>
      </c>
      <c r="F5" s="27" t="s">
        <v>58</v>
      </c>
      <c r="G5" s="27" t="s">
        <v>59</v>
      </c>
      <c r="H5" s="27" t="s">
        <v>56</v>
      </c>
      <c r="I5" s="27" t="s">
        <v>67</v>
      </c>
      <c r="J5" s="27" t="s">
        <v>60</v>
      </c>
      <c r="K5" s="27" t="s">
        <v>63</v>
      </c>
      <c r="L5" s="27" t="s">
        <v>61</v>
      </c>
      <c r="M5" s="27" t="s">
        <v>62</v>
      </c>
      <c r="N5" s="27" t="s">
        <v>64</v>
      </c>
      <c r="O5" s="27"/>
      <c r="P5" s="27" t="s">
        <v>65</v>
      </c>
      <c r="Q5" s="27" t="s">
        <v>66</v>
      </c>
      <c r="R5" s="27" t="s">
        <v>64</v>
      </c>
    </row>
    <row r="6" spans="1:18" s="2" customFormat="1" ht="25.5" customHeight="1" thickBot="1" x14ac:dyDescent="0.25">
      <c r="A6" s="28" t="s">
        <v>7</v>
      </c>
      <c r="B6" s="28">
        <v>24</v>
      </c>
      <c r="C6" s="28">
        <v>2333.422</v>
      </c>
      <c r="D6" s="35">
        <v>119980.93000000002</v>
      </c>
      <c r="E6" s="35">
        <f t="shared" ref="E6:E19" si="0">0.1*D6</f>
        <v>11998.093000000003</v>
      </c>
      <c r="F6" s="28">
        <v>45</v>
      </c>
      <c r="G6" s="28">
        <f t="shared" ref="G6:G19" si="1">PV($B$23,F6,-C6)</f>
        <v>53386.368164765263</v>
      </c>
      <c r="H6" s="35">
        <f t="shared" ref="H6:H19" si="2">D6*0.15</f>
        <v>17997.139500000001</v>
      </c>
      <c r="I6" s="35">
        <f>D6*0.1</f>
        <v>11998.093000000003</v>
      </c>
      <c r="J6" s="35">
        <f t="shared" ref="J6:J19" si="3">$B$24*(C6/$C$20)</f>
        <v>6654.43410441179</v>
      </c>
      <c r="K6" s="35">
        <f>D6+H6+I6</f>
        <v>149976.16250000001</v>
      </c>
      <c r="L6" s="35">
        <f t="shared" ref="L6:L19" si="4">IF(ISERROR(K6/G6),0,K6/G6)</f>
        <v>2.8092595105389382</v>
      </c>
      <c r="M6" s="35">
        <f t="shared" ref="M6:M14" si="5">(K6+J6)/G6</f>
        <v>2.9339062009426442</v>
      </c>
      <c r="N6" s="28">
        <f t="shared" ref="N6:N19" si="6">IF(B6=0,0,(VLOOKUP($F6,AC,6)*$C6)/($K6+$J6))</f>
        <v>0.91272655655662815</v>
      </c>
      <c r="O6" s="28"/>
      <c r="P6" s="35">
        <f t="shared" ref="P6:P19" si="7">IF(ISERROR((D6-E6)/G6),0,(D6-E6)/G6)</f>
        <v>2.0226668475880354</v>
      </c>
      <c r="Q6" s="35">
        <f t="shared" ref="Q6:Q19" si="8">IF(B6=0,0,((D6-E6+J6)/G6))</f>
        <v>2.1473135379917423</v>
      </c>
      <c r="R6" s="28">
        <f t="shared" ref="R6:R19" si="9">IF(B6=0,0,(VLOOKUP($F6,AC,4)*$C6)/($D6-$E6+$J6))</f>
        <v>1.1337016131036159</v>
      </c>
    </row>
    <row r="7" spans="1:18" s="2" customFormat="1" ht="25.5" customHeight="1" thickBot="1" x14ac:dyDescent="0.25">
      <c r="A7" s="29" t="s">
        <v>4</v>
      </c>
      <c r="B7" s="29">
        <v>9</v>
      </c>
      <c r="C7" s="29">
        <v>395.35999999999996</v>
      </c>
      <c r="D7" s="36">
        <v>28637</v>
      </c>
      <c r="E7" s="36">
        <f t="shared" si="0"/>
        <v>2863.7000000000003</v>
      </c>
      <c r="F7" s="29">
        <v>45</v>
      </c>
      <c r="G7" s="29">
        <f t="shared" si="1"/>
        <v>9045.4424950230132</v>
      </c>
      <c r="H7" s="36">
        <f t="shared" si="2"/>
        <v>4295.55</v>
      </c>
      <c r="I7" s="36">
        <f t="shared" ref="I7:I19" si="10">D7*0.1</f>
        <v>2863.7000000000003</v>
      </c>
      <c r="J7" s="36">
        <f t="shared" si="3"/>
        <v>1127.4844702416644</v>
      </c>
      <c r="K7" s="36">
        <f t="shared" ref="K7:K19" si="11">D7+H7+I7</f>
        <v>35796.25</v>
      </c>
      <c r="L7" s="36">
        <f t="shared" si="4"/>
        <v>3.9573796439141398</v>
      </c>
      <c r="M7" s="36">
        <f t="shared" si="5"/>
        <v>4.0820263343178462</v>
      </c>
      <c r="N7" s="29">
        <f t="shared" si="6"/>
        <v>0.65601098198059971</v>
      </c>
      <c r="O7" s="29"/>
      <c r="P7" s="36">
        <f t="shared" si="7"/>
        <v>2.8493133436181806</v>
      </c>
      <c r="Q7" s="36">
        <f t="shared" si="8"/>
        <v>2.973960034021887</v>
      </c>
      <c r="R7" s="29">
        <f t="shared" si="9"/>
        <v>0.8185761725144135</v>
      </c>
    </row>
    <row r="8" spans="1:18" ht="25.5" customHeight="1" thickBot="1" x14ac:dyDescent="0.25">
      <c r="A8" s="28" t="s">
        <v>8</v>
      </c>
      <c r="B8" s="28">
        <v>26</v>
      </c>
      <c r="C8" s="28">
        <v>1461.6420000000001</v>
      </c>
      <c r="D8" s="35">
        <v>109350.88999999998</v>
      </c>
      <c r="E8" s="35">
        <f t="shared" si="0"/>
        <v>10935.089</v>
      </c>
      <c r="F8" s="28">
        <v>45</v>
      </c>
      <c r="G8" s="28">
        <f t="shared" si="1"/>
        <v>33440.91121840963</v>
      </c>
      <c r="H8" s="35">
        <f t="shared" si="2"/>
        <v>16402.633499999996</v>
      </c>
      <c r="I8" s="35">
        <f t="shared" si="10"/>
        <v>10935.089</v>
      </c>
      <c r="J8" s="35">
        <f t="shared" si="3"/>
        <v>4168.2989074589414</v>
      </c>
      <c r="K8" s="35">
        <f t="shared" si="11"/>
        <v>136688.61249999999</v>
      </c>
      <c r="L8" s="35">
        <f t="shared" si="4"/>
        <v>4.0874667441702739</v>
      </c>
      <c r="M8" s="35">
        <f t="shared" si="5"/>
        <v>4.2121134345739799</v>
      </c>
      <c r="N8" s="28">
        <f t="shared" si="6"/>
        <v>0.63575070938642964</v>
      </c>
      <c r="O8" s="28"/>
      <c r="P8" s="35">
        <f t="shared" si="7"/>
        <v>2.9429760558025966</v>
      </c>
      <c r="Q8" s="35">
        <f t="shared" si="8"/>
        <v>3.067622746206303</v>
      </c>
      <c r="R8" s="28">
        <f t="shared" si="9"/>
        <v>0.7935828565853098</v>
      </c>
    </row>
    <row r="9" spans="1:18" ht="25.5" customHeight="1" thickBot="1" x14ac:dyDescent="0.25">
      <c r="A9" s="29" t="s">
        <v>9</v>
      </c>
      <c r="B9" s="29">
        <v>21</v>
      </c>
      <c r="C9" s="29">
        <v>534.79200000000003</v>
      </c>
      <c r="D9" s="36">
        <v>45742.600000000006</v>
      </c>
      <c r="E9" s="36">
        <f t="shared" si="0"/>
        <v>4574.2600000000011</v>
      </c>
      <c r="F9" s="29">
        <v>13</v>
      </c>
      <c r="G9" s="29">
        <f t="shared" si="1"/>
        <v>5544.6936228659551</v>
      </c>
      <c r="H9" s="36">
        <f t="shared" si="2"/>
        <v>6861.39</v>
      </c>
      <c r="I9" s="36">
        <f t="shared" si="10"/>
        <v>4574.2600000000011</v>
      </c>
      <c r="J9" s="36">
        <f t="shared" si="3"/>
        <v>1525.1155271385076</v>
      </c>
      <c r="K9" s="36">
        <f t="shared" si="11"/>
        <v>57178.250000000007</v>
      </c>
      <c r="L9" s="36">
        <f t="shared" si="4"/>
        <v>10.31224696783978</v>
      </c>
      <c r="M9" s="36">
        <f t="shared" si="5"/>
        <v>10.587305542915782</v>
      </c>
      <c r="N9" s="29">
        <f t="shared" si="6"/>
        <v>0.11834284079586876</v>
      </c>
      <c r="O9" s="29"/>
      <c r="P9" s="36">
        <f t="shared" si="7"/>
        <v>7.4248178168446408</v>
      </c>
      <c r="Q9" s="36">
        <f t="shared" si="8"/>
        <v>7.6998763919206432</v>
      </c>
      <c r="R9" s="29">
        <f t="shared" si="9"/>
        <v>0.14792820873157514</v>
      </c>
    </row>
    <row r="10" spans="1:18" ht="25.5" customHeight="1" thickBot="1" x14ac:dyDescent="0.25">
      <c r="A10" s="28" t="s">
        <v>37</v>
      </c>
      <c r="B10" s="28">
        <v>4</v>
      </c>
      <c r="C10" s="28">
        <v>25.6</v>
      </c>
      <c r="D10" s="35">
        <v>864.8599999999999</v>
      </c>
      <c r="E10" s="35">
        <f t="shared" si="0"/>
        <v>86.48599999999999</v>
      </c>
      <c r="F10" s="28">
        <v>13</v>
      </c>
      <c r="G10" s="28">
        <f t="shared" si="1"/>
        <v>265.41937191537727</v>
      </c>
      <c r="H10" s="35">
        <f t="shared" si="2"/>
        <v>129.72899999999998</v>
      </c>
      <c r="I10" s="35">
        <f t="shared" si="10"/>
        <v>86.48599999999999</v>
      </c>
      <c r="J10" s="35">
        <f t="shared" si="3"/>
        <v>73.00587423661122</v>
      </c>
      <c r="K10" s="35">
        <f t="shared" si="11"/>
        <v>1081.0749999999998</v>
      </c>
      <c r="L10" s="35">
        <f t="shared" si="4"/>
        <v>4.0730825041085366</v>
      </c>
      <c r="M10" s="35">
        <f t="shared" si="5"/>
        <v>4.348141079184539</v>
      </c>
      <c r="N10" s="28">
        <f t="shared" si="6"/>
        <v>0.28815344109245861</v>
      </c>
      <c r="O10" s="28"/>
      <c r="P10" s="35">
        <f t="shared" si="7"/>
        <v>2.9326194029581463</v>
      </c>
      <c r="Q10" s="35">
        <f t="shared" si="8"/>
        <v>3.2076779780341491</v>
      </c>
      <c r="R10" s="28">
        <f t="shared" si="9"/>
        <v>0.35509453564582183</v>
      </c>
    </row>
    <row r="11" spans="1:18" ht="25.5" customHeight="1" thickBot="1" x14ac:dyDescent="0.25">
      <c r="A11" s="29" t="s">
        <v>33</v>
      </c>
      <c r="B11" s="29">
        <v>5</v>
      </c>
      <c r="C11" s="29">
        <v>105</v>
      </c>
      <c r="D11" s="36">
        <v>2814.03</v>
      </c>
      <c r="E11" s="36">
        <f t="shared" si="0"/>
        <v>281.40300000000002</v>
      </c>
      <c r="F11" s="29">
        <v>18</v>
      </c>
      <c r="G11" s="29">
        <f t="shared" si="1"/>
        <v>1396.4677677355819</v>
      </c>
      <c r="H11" s="36">
        <f t="shared" si="2"/>
        <v>422.10450000000003</v>
      </c>
      <c r="I11" s="36">
        <f t="shared" si="10"/>
        <v>281.40300000000002</v>
      </c>
      <c r="J11" s="36">
        <f t="shared" si="3"/>
        <v>299.43815604860066</v>
      </c>
      <c r="K11" s="36">
        <f t="shared" si="11"/>
        <v>3517.5375000000004</v>
      </c>
      <c r="L11" s="36">
        <f t="shared" si="4"/>
        <v>2.518881983007601</v>
      </c>
      <c r="M11" s="36">
        <f t="shared" si="5"/>
        <v>2.7333073804044559</v>
      </c>
      <c r="N11" s="29">
        <f t="shared" si="6"/>
        <v>0.51439923186874792</v>
      </c>
      <c r="O11" s="29"/>
      <c r="P11" s="36">
        <f t="shared" si="7"/>
        <v>1.8135950277654727</v>
      </c>
      <c r="Q11" s="36">
        <f t="shared" si="8"/>
        <v>2.0280204251623277</v>
      </c>
      <c r="R11" s="29">
        <f t="shared" si="9"/>
        <v>0.63026584917102602</v>
      </c>
    </row>
    <row r="12" spans="1:18" ht="25.5" customHeight="1" thickBot="1" x14ac:dyDescent="0.25">
      <c r="A12" s="28" t="s">
        <v>34</v>
      </c>
      <c r="B12" s="28">
        <v>17</v>
      </c>
      <c r="C12" s="28">
        <v>1309</v>
      </c>
      <c r="D12" s="35">
        <v>20628.979999999996</v>
      </c>
      <c r="E12" s="35">
        <f t="shared" si="0"/>
        <v>2062.8979999999997</v>
      </c>
      <c r="F12" s="28">
        <v>18</v>
      </c>
      <c r="G12" s="28">
        <f t="shared" si="1"/>
        <v>17409.298171103586</v>
      </c>
      <c r="H12" s="35">
        <f t="shared" si="2"/>
        <v>3094.3469999999993</v>
      </c>
      <c r="I12" s="35">
        <f t="shared" si="10"/>
        <v>2062.8979999999997</v>
      </c>
      <c r="J12" s="35">
        <f t="shared" si="3"/>
        <v>3732.9956787392216</v>
      </c>
      <c r="K12" s="35">
        <f t="shared" si="11"/>
        <v>25786.224999999995</v>
      </c>
      <c r="L12" s="35">
        <f t="shared" si="4"/>
        <v>1.4811754469689453</v>
      </c>
      <c r="M12" s="35">
        <f t="shared" si="5"/>
        <v>1.6956008443657999</v>
      </c>
      <c r="N12" s="28">
        <f t="shared" si="6"/>
        <v>0.82921120357610911</v>
      </c>
      <c r="O12" s="28"/>
      <c r="P12" s="35">
        <f t="shared" si="7"/>
        <v>1.0664463218176405</v>
      </c>
      <c r="Q12" s="35">
        <f t="shared" si="8"/>
        <v>1.2808717192144952</v>
      </c>
      <c r="R12" s="28">
        <f t="shared" si="9"/>
        <v>0.99790790617578884</v>
      </c>
    </row>
    <row r="13" spans="1:18" ht="25.5" customHeight="1" thickBot="1" x14ac:dyDescent="0.25">
      <c r="A13" s="29" t="s">
        <v>39</v>
      </c>
      <c r="B13" s="29">
        <v>31</v>
      </c>
      <c r="C13" s="29">
        <v>403</v>
      </c>
      <c r="D13" s="36">
        <v>107115.51000000002</v>
      </c>
      <c r="E13" s="36">
        <f t="shared" si="0"/>
        <v>10711.551000000003</v>
      </c>
      <c r="F13" s="29">
        <v>10</v>
      </c>
      <c r="G13" s="29">
        <f t="shared" si="1"/>
        <v>3368.5488692282602</v>
      </c>
      <c r="H13" s="36">
        <f t="shared" si="2"/>
        <v>16067.326500000003</v>
      </c>
      <c r="I13" s="36">
        <f t="shared" si="10"/>
        <v>10711.551000000003</v>
      </c>
      <c r="J13" s="36">
        <f t="shared" si="3"/>
        <v>1149.2721608341531</v>
      </c>
      <c r="K13" s="36">
        <f t="shared" si="11"/>
        <v>133894.38750000004</v>
      </c>
      <c r="L13" s="36">
        <f t="shared" si="4"/>
        <v>39.748388014532637</v>
      </c>
      <c r="M13" s="36">
        <f t="shared" si="5"/>
        <v>40.089565241122038</v>
      </c>
      <c r="N13" s="29">
        <f t="shared" si="6"/>
        <v>2.9152371569143139E-2</v>
      </c>
      <c r="O13" s="29"/>
      <c r="P13" s="36">
        <f t="shared" si="7"/>
        <v>28.618839370463494</v>
      </c>
      <c r="Q13" s="36">
        <f t="shared" si="8"/>
        <v>28.960016597052892</v>
      </c>
      <c r="R13" s="29">
        <f t="shared" si="9"/>
        <v>3.6687130592871778E-2</v>
      </c>
    </row>
    <row r="14" spans="1:18" ht="25.5" customHeight="1" thickBot="1" x14ac:dyDescent="0.25">
      <c r="A14" s="28" t="s">
        <v>40</v>
      </c>
      <c r="B14" s="28">
        <v>12</v>
      </c>
      <c r="C14" s="28">
        <v>1332</v>
      </c>
      <c r="D14" s="35">
        <v>67150.829999999987</v>
      </c>
      <c r="E14" s="35">
        <f t="shared" si="0"/>
        <v>6715.0829999999987</v>
      </c>
      <c r="F14" s="28">
        <v>45</v>
      </c>
      <c r="G14" s="28">
        <f t="shared" si="1"/>
        <v>30474.831554458357</v>
      </c>
      <c r="H14" s="35">
        <f t="shared" si="2"/>
        <v>10072.624499999998</v>
      </c>
      <c r="I14" s="35">
        <f t="shared" si="10"/>
        <v>6715.0829999999987</v>
      </c>
      <c r="J14" s="35">
        <f t="shared" si="3"/>
        <v>3798.5868938736776</v>
      </c>
      <c r="K14" s="35">
        <f t="shared" si="11"/>
        <v>83938.537499999991</v>
      </c>
      <c r="L14" s="35">
        <f t="shared" si="4"/>
        <v>2.7543560774077549</v>
      </c>
      <c r="M14" s="35">
        <f t="shared" si="5"/>
        <v>2.8790027678114614</v>
      </c>
      <c r="N14" s="28">
        <f t="shared" si="6"/>
        <v>0.93013252157522208</v>
      </c>
      <c r="O14" s="28"/>
      <c r="P14" s="35">
        <f t="shared" si="7"/>
        <v>1.9831363757335834</v>
      </c>
      <c r="Q14" s="35">
        <f t="shared" si="8"/>
        <v>2.1077830661372898</v>
      </c>
      <c r="R14" s="28">
        <f t="shared" si="9"/>
        <v>1.1549636492344351</v>
      </c>
    </row>
    <row r="15" spans="1:18" ht="25.5" customHeight="1" thickBot="1" x14ac:dyDescent="0.25">
      <c r="A15" s="29" t="s">
        <v>41</v>
      </c>
      <c r="B15" s="29">
        <v>0</v>
      </c>
      <c r="C15" s="29">
        <v>0</v>
      </c>
      <c r="D15" s="36">
        <v>0</v>
      </c>
      <c r="E15" s="36">
        <f t="shared" si="0"/>
        <v>0</v>
      </c>
      <c r="F15" s="29">
        <v>18</v>
      </c>
      <c r="G15" s="29">
        <f t="shared" si="1"/>
        <v>0</v>
      </c>
      <c r="H15" s="36">
        <f t="shared" si="2"/>
        <v>0</v>
      </c>
      <c r="I15" s="36">
        <f t="shared" si="10"/>
        <v>0</v>
      </c>
      <c r="J15" s="36">
        <f t="shared" si="3"/>
        <v>0</v>
      </c>
      <c r="K15" s="36">
        <f t="shared" si="11"/>
        <v>0</v>
      </c>
      <c r="L15" s="36">
        <f t="shared" si="4"/>
        <v>0</v>
      </c>
      <c r="M15" s="36" t="s">
        <v>50</v>
      </c>
      <c r="N15" s="29">
        <f t="shared" si="6"/>
        <v>0</v>
      </c>
      <c r="O15" s="29"/>
      <c r="P15" s="36">
        <f t="shared" si="7"/>
        <v>0</v>
      </c>
      <c r="Q15" s="36">
        <f t="shared" si="8"/>
        <v>0</v>
      </c>
      <c r="R15" s="29">
        <f t="shared" si="9"/>
        <v>0</v>
      </c>
    </row>
    <row r="16" spans="1:18" ht="25.5" customHeight="1" thickBot="1" x14ac:dyDescent="0.25">
      <c r="A16" s="28" t="s">
        <v>42</v>
      </c>
      <c r="B16" s="28">
        <v>4</v>
      </c>
      <c r="C16" s="28">
        <v>20</v>
      </c>
      <c r="D16" s="35">
        <v>13.660000000000002</v>
      </c>
      <c r="E16" s="35">
        <f t="shared" si="0"/>
        <v>1.3660000000000003</v>
      </c>
      <c r="F16" s="28">
        <v>20</v>
      </c>
      <c r="G16" s="28">
        <f t="shared" si="1"/>
        <v>286.8373376018684</v>
      </c>
      <c r="H16" s="35">
        <f t="shared" si="2"/>
        <v>2.0490000000000004</v>
      </c>
      <c r="I16" s="35">
        <f t="shared" si="10"/>
        <v>1.3660000000000003</v>
      </c>
      <c r="J16" s="35">
        <f t="shared" si="3"/>
        <v>57.035839247352513</v>
      </c>
      <c r="K16" s="35">
        <f t="shared" si="11"/>
        <v>17.075000000000003</v>
      </c>
      <c r="L16" s="35">
        <f t="shared" si="4"/>
        <v>5.9528512371357263E-2</v>
      </c>
      <c r="M16" s="35">
        <f>(K16+J16)/G16</f>
        <v>0.25837235789093371</v>
      </c>
      <c r="N16" s="28">
        <f t="shared" si="6"/>
        <v>5.7049807529001306</v>
      </c>
      <c r="O16" s="28"/>
      <c r="P16" s="35">
        <f t="shared" si="7"/>
        <v>4.2860528907377231E-2</v>
      </c>
      <c r="Q16" s="35">
        <f t="shared" si="8"/>
        <v>0.24170437442695364</v>
      </c>
      <c r="R16" s="28">
        <f t="shared" si="9"/>
        <v>5.5439976373988618</v>
      </c>
    </row>
    <row r="17" spans="1:18" ht="25.5" customHeight="1" thickBot="1" x14ac:dyDescent="0.25">
      <c r="A17" s="29" t="s">
        <v>43</v>
      </c>
      <c r="B17" s="29">
        <v>2</v>
      </c>
      <c r="C17" s="29">
        <v>10</v>
      </c>
      <c r="D17" s="36">
        <v>58.430000000000007</v>
      </c>
      <c r="E17" s="36">
        <f t="shared" si="0"/>
        <v>5.8430000000000009</v>
      </c>
      <c r="F17" s="29">
        <v>10</v>
      </c>
      <c r="G17" s="29">
        <f t="shared" si="1"/>
        <v>83.58682057638363</v>
      </c>
      <c r="H17" s="36">
        <f t="shared" si="2"/>
        <v>8.7645</v>
      </c>
      <c r="I17" s="36">
        <f t="shared" si="10"/>
        <v>5.8430000000000009</v>
      </c>
      <c r="J17" s="36">
        <f t="shared" si="3"/>
        <v>28.517919623676256</v>
      </c>
      <c r="K17" s="36">
        <f t="shared" si="11"/>
        <v>73.037500000000009</v>
      </c>
      <c r="L17" s="36">
        <f t="shared" si="4"/>
        <v>0.87379205832164175</v>
      </c>
      <c r="M17" s="36">
        <f>(K17+J17)/G17</f>
        <v>1.2149692849110405</v>
      </c>
      <c r="N17" s="29">
        <f t="shared" si="6"/>
        <v>0.96192217899579835</v>
      </c>
      <c r="O17" s="29"/>
      <c r="P17" s="36">
        <f t="shared" si="7"/>
        <v>0.62913028199158205</v>
      </c>
      <c r="Q17" s="36">
        <f t="shared" si="8"/>
        <v>0.97030750858098092</v>
      </c>
      <c r="R17" s="29">
        <f t="shared" si="9"/>
        <v>1.094972368524284</v>
      </c>
    </row>
    <row r="18" spans="1:18" ht="25.5" customHeight="1" thickBot="1" x14ac:dyDescent="0.25">
      <c r="A18" s="28" t="s">
        <v>44</v>
      </c>
      <c r="B18" s="28">
        <v>4</v>
      </c>
      <c r="C18" s="28">
        <v>216</v>
      </c>
      <c r="D18" s="35">
        <v>20882.189999999999</v>
      </c>
      <c r="E18" s="35">
        <f t="shared" si="0"/>
        <v>2088.2190000000001</v>
      </c>
      <c r="F18" s="28">
        <v>10</v>
      </c>
      <c r="G18" s="28">
        <f t="shared" si="1"/>
        <v>1805.4753244498863</v>
      </c>
      <c r="H18" s="35">
        <f t="shared" si="2"/>
        <v>3132.3284999999996</v>
      </c>
      <c r="I18" s="35">
        <f t="shared" si="10"/>
        <v>2088.2190000000001</v>
      </c>
      <c r="J18" s="35">
        <f t="shared" si="3"/>
        <v>615.98706387140714</v>
      </c>
      <c r="K18" s="35">
        <f t="shared" si="11"/>
        <v>26102.737499999999</v>
      </c>
      <c r="L18" s="35">
        <f t="shared" si="4"/>
        <v>14.457543200128359</v>
      </c>
      <c r="M18" s="35">
        <f>(K18+J18)/G18</f>
        <v>14.798720426717757</v>
      </c>
      <c r="N18" s="28">
        <f t="shared" si="6"/>
        <v>7.8973442855545931E-2</v>
      </c>
      <c r="O18" s="28"/>
      <c r="P18" s="35">
        <f t="shared" si="7"/>
        <v>10.409431104092418</v>
      </c>
      <c r="Q18" s="35">
        <f t="shared" si="8"/>
        <v>10.750608330681816</v>
      </c>
      <c r="R18" s="28">
        <f t="shared" si="9"/>
        <v>9.8827887519220156E-2</v>
      </c>
    </row>
    <row r="19" spans="1:18" ht="25.5" customHeight="1" thickBot="1" x14ac:dyDescent="0.25">
      <c r="A19" s="29" t="s">
        <v>45</v>
      </c>
      <c r="B19" s="29">
        <v>3</v>
      </c>
      <c r="C19" s="29">
        <v>99</v>
      </c>
      <c r="D19" s="36">
        <v>7769.8099999999995</v>
      </c>
      <c r="E19" s="36">
        <f t="shared" si="0"/>
        <v>776.98099999999999</v>
      </c>
      <c r="F19" s="29">
        <v>16</v>
      </c>
      <c r="G19" s="29">
        <f t="shared" si="1"/>
        <v>1206.3592130993266</v>
      </c>
      <c r="H19" s="36">
        <f t="shared" si="2"/>
        <v>1165.4714999999999</v>
      </c>
      <c r="I19" s="36">
        <f t="shared" si="10"/>
        <v>776.98099999999999</v>
      </c>
      <c r="J19" s="36">
        <f t="shared" si="3"/>
        <v>282.32740427439495</v>
      </c>
      <c r="K19" s="36">
        <f t="shared" si="11"/>
        <v>9712.2624999999989</v>
      </c>
      <c r="L19" s="36">
        <f t="shared" si="4"/>
        <v>8.0508876581194002</v>
      </c>
      <c r="M19" s="36">
        <f>(K19+J19)/G19</f>
        <v>8.2849202756090534</v>
      </c>
      <c r="N19" s="29">
        <f t="shared" si="6"/>
        <v>0.16195640677171838</v>
      </c>
      <c r="O19" s="29"/>
      <c r="P19" s="36">
        <f t="shared" si="7"/>
        <v>5.7966391138459681</v>
      </c>
      <c r="Q19" s="36">
        <f t="shared" si="8"/>
        <v>6.0306717313356222</v>
      </c>
      <c r="R19" s="29">
        <f t="shared" si="9"/>
        <v>0.20226842472256815</v>
      </c>
    </row>
    <row r="20" spans="1:18" ht="25.5" customHeight="1" thickBot="1" x14ac:dyDescent="0.25">
      <c r="A20" s="30" t="s">
        <v>12</v>
      </c>
      <c r="B20" s="34">
        <f t="shared" ref="B20:J20" si="12">SUM(B6:B19)</f>
        <v>162</v>
      </c>
      <c r="C20" s="34">
        <f>SUM(C6:C19)</f>
        <v>8244.8160000000007</v>
      </c>
      <c r="D20" s="30">
        <f t="shared" si="12"/>
        <v>531009.72</v>
      </c>
      <c r="E20" s="30">
        <f>SUM(E6:E19)</f>
        <v>53100.972000000009</v>
      </c>
      <c r="F20" s="34">
        <f>SUMPRODUCT(C6:C19,F6:F19)/SUM(C6:C19)</f>
        <v>35.115419919619789</v>
      </c>
      <c r="G20" s="30">
        <f>SUM(G6:G19)</f>
        <v>157714.2399312325</v>
      </c>
      <c r="H20" s="30">
        <f>SUM(H6:H19)</f>
        <v>79651.458000000013</v>
      </c>
      <c r="I20" s="30">
        <f>SUM(I6:I19)</f>
        <v>53100.972000000009</v>
      </c>
      <c r="J20" s="30">
        <f t="shared" si="12"/>
        <v>23512.499999999993</v>
      </c>
      <c r="K20" s="30">
        <f>SUM(K6:K19)</f>
        <v>663762.14999999991</v>
      </c>
      <c r="L20" s="30">
        <f>K20/G20</f>
        <v>4.2086380423823329</v>
      </c>
      <c r="M20" s="30">
        <f>(K20+J20)/G20</f>
        <v>4.3577209660945613</v>
      </c>
      <c r="N20" s="34">
        <f>IF(B20=0,0,(VLOOKUP(F20,AC,6)*$C20)/($K20+$J20))</f>
        <v>0.51350210336223745</v>
      </c>
      <c r="O20" s="30"/>
      <c r="P20" s="30">
        <f>D20/G20</f>
        <v>3.3669104339058666</v>
      </c>
      <c r="Q20" s="30">
        <f>(D20+J20)/G20</f>
        <v>3.5159933576180951</v>
      </c>
      <c r="R20" s="34">
        <f>IF(B20=0,0,(VLOOKUP(F20,AC,4)*$C20)/($D20-$E20+$J20))</f>
        <v>0.63984846667930428</v>
      </c>
    </row>
    <row r="21" spans="1:18" ht="27" customHeight="1" thickBot="1" x14ac:dyDescent="0.25">
      <c r="A21" s="31" t="s">
        <v>35</v>
      </c>
      <c r="B21" s="32">
        <v>3.4000000000000002E-2</v>
      </c>
      <c r="C21" s="14"/>
      <c r="D21" s="15"/>
      <c r="F21" s="14"/>
      <c r="G21" s="2"/>
      <c r="H21" s="16"/>
      <c r="I21" s="16"/>
      <c r="J21" s="17"/>
    </row>
    <row r="22" spans="1:18" s="2" customFormat="1" ht="27" customHeight="1" thickBot="1" x14ac:dyDescent="0.3">
      <c r="A22" s="31" t="s">
        <v>5</v>
      </c>
      <c r="B22" s="32">
        <v>0.02</v>
      </c>
      <c r="C22" s="18"/>
      <c r="D22" s="19"/>
      <c r="F22" s="20"/>
      <c r="G22" s="20"/>
      <c r="H22" s="20"/>
      <c r="I22" s="20"/>
      <c r="J22" s="21"/>
      <c r="K22" s="22"/>
      <c r="L22" s="22"/>
      <c r="M22" s="1"/>
      <c r="N22" s="13"/>
      <c r="O22" s="1"/>
      <c r="P22" s="1"/>
      <c r="Q22" s="13"/>
      <c r="R22" s="13"/>
    </row>
    <row r="23" spans="1:18" ht="27" customHeight="1" thickBot="1" x14ac:dyDescent="0.3">
      <c r="A23" s="31" t="s">
        <v>36</v>
      </c>
      <c r="B23" s="32">
        <v>3.4000000000000002E-2</v>
      </c>
      <c r="C23" s="3"/>
      <c r="D23" s="3"/>
      <c r="F23" s="3"/>
      <c r="G23" s="3"/>
      <c r="H23" s="3"/>
      <c r="I23" s="3"/>
      <c r="J23" s="3"/>
      <c r="K23" s="22"/>
      <c r="L23" s="22"/>
    </row>
    <row r="24" spans="1:18" ht="27" customHeight="1" thickBot="1" x14ac:dyDescent="0.25">
      <c r="A24" s="31" t="s">
        <v>29</v>
      </c>
      <c r="B24" s="33">
        <v>23512.5</v>
      </c>
      <c r="C24" s="23"/>
      <c r="D24" s="24"/>
    </row>
    <row r="25" spans="1:18" ht="27" customHeight="1" thickBot="1" x14ac:dyDescent="0.25">
      <c r="A25" s="31" t="s">
        <v>46</v>
      </c>
      <c r="B25" s="33">
        <v>79651.460000000021</v>
      </c>
      <c r="C25" s="13"/>
      <c r="D25" s="1"/>
      <c r="H25" s="1"/>
      <c r="I25" s="1"/>
      <c r="J25" s="13"/>
      <c r="L25" s="1"/>
      <c r="M25" s="13"/>
      <c r="N25" s="1"/>
      <c r="P25" s="13"/>
    </row>
    <row r="26" spans="1:18" ht="27" customHeight="1" thickBot="1" x14ac:dyDescent="0.25">
      <c r="A26" s="31" t="s">
        <v>38</v>
      </c>
      <c r="B26" s="33">
        <v>53100.969000000005</v>
      </c>
      <c r="C26" s="13"/>
      <c r="D26" s="1"/>
      <c r="H26" s="1"/>
      <c r="I26" s="1"/>
      <c r="J26" s="13"/>
      <c r="L26" s="1"/>
      <c r="M26" s="13"/>
      <c r="N26" s="1"/>
      <c r="P26" s="13"/>
    </row>
  </sheetData>
  <mergeCells count="4">
    <mergeCell ref="A1:Q1"/>
    <mergeCell ref="A2:Q2"/>
    <mergeCell ref="A3:Q3"/>
    <mergeCell ref="A4:R4"/>
  </mergeCells>
  <pageMargins left="0.7" right="0.7" top="0.75" bottom="0.75" header="0.3" footer="0.3"/>
  <ignoredErrors>
    <ignoredError sqref="F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5A70-1353-4F7A-95D7-C2B9D0D52644}">
  <dimension ref="A1:BE103"/>
  <sheetViews>
    <sheetView zoomScale="70" zoomScaleNormal="70" workbookViewId="0">
      <selection activeCell="B3" sqref="B3"/>
    </sheetView>
  </sheetViews>
  <sheetFormatPr defaultColWidth="8.83203125" defaultRowHeight="12.75" x14ac:dyDescent="0.2"/>
  <cols>
    <col min="1" max="1" width="12.6640625" style="43" customWidth="1"/>
    <col min="2" max="2" width="12.1640625" style="43" customWidth="1"/>
    <col min="3" max="3" width="8.83203125" style="43" customWidth="1"/>
    <col min="4" max="4" width="13.1640625" style="95" customWidth="1"/>
    <col min="5" max="5" width="29" style="95" customWidth="1"/>
    <col min="6" max="6" width="20.6640625" style="95" customWidth="1"/>
    <col min="7" max="7" width="17.33203125" style="97" customWidth="1"/>
    <col min="8" max="9" width="19.5" style="48" customWidth="1"/>
    <col min="10" max="10" width="19.5" style="55" customWidth="1"/>
    <col min="11" max="12" width="19.5" style="48" customWidth="1"/>
    <col min="13" max="13" width="19.5" style="43" customWidth="1"/>
    <col min="14" max="15" width="19.5" style="48" customWidth="1"/>
    <col min="16" max="16" width="19.5" style="52" customWidth="1"/>
    <col min="17" max="18" width="19.5" style="48" customWidth="1"/>
    <col min="19" max="19" width="19.5" style="52" customWidth="1"/>
    <col min="20" max="21" width="19.5" style="48" customWidth="1"/>
    <col min="22" max="22" width="19.5" style="43" customWidth="1"/>
    <col min="23" max="24" width="19.5" style="48" customWidth="1"/>
    <col min="25" max="25" width="19.5" style="43" customWidth="1"/>
    <col min="26" max="27" width="19.5" style="48" customWidth="1"/>
    <col min="28" max="28" width="19.5" style="55" customWidth="1"/>
    <col min="29" max="30" width="19.5" style="48" customWidth="1"/>
    <col min="31" max="31" width="19.5" style="55" customWidth="1"/>
    <col min="32" max="33" width="19.5" style="48" customWidth="1"/>
    <col min="34" max="34" width="19.5" style="55" customWidth="1"/>
    <col min="35" max="36" width="19.5" style="48" customWidth="1"/>
    <col min="37" max="37" width="19.5" style="43" customWidth="1"/>
    <col min="38" max="39" width="19.5" style="48" customWidth="1"/>
    <col min="40" max="40" width="19.5" style="43" customWidth="1"/>
    <col min="41" max="42" width="19.5" style="48" customWidth="1"/>
    <col min="43" max="43" width="19.5" style="43" customWidth="1"/>
    <col min="44" max="45" width="19.5" style="48" customWidth="1"/>
    <col min="46" max="46" width="19.5" style="43" customWidth="1"/>
    <col min="47" max="48" width="19.5" style="100" customWidth="1"/>
    <col min="49" max="49" width="19.5" style="43" customWidth="1"/>
    <col min="50" max="50" width="20.83203125" style="48" customWidth="1"/>
    <col min="51" max="51" width="17.1640625" style="48" customWidth="1"/>
    <col min="52" max="52" width="25.33203125" style="48" customWidth="1"/>
    <col min="53" max="54" width="16.33203125" style="48" bestFit="1" customWidth="1"/>
    <col min="55" max="55" width="17.1640625" style="108" customWidth="1"/>
    <col min="56" max="56" width="13" style="97" bestFit="1" customWidth="1"/>
    <col min="57" max="57" width="18.33203125" style="109" bestFit="1" customWidth="1"/>
    <col min="58" max="16384" width="8.83203125" style="43"/>
  </cols>
  <sheetData>
    <row r="1" spans="1:57" x14ac:dyDescent="0.2">
      <c r="B1" s="44" t="s">
        <v>68</v>
      </c>
      <c r="C1" s="44"/>
      <c r="D1" s="44"/>
      <c r="E1" s="44"/>
      <c r="F1" s="44"/>
      <c r="G1" s="45"/>
      <c r="H1" s="46"/>
      <c r="I1" s="46"/>
      <c r="J1" s="47"/>
      <c r="L1" s="49"/>
      <c r="M1" s="50" t="s">
        <v>69</v>
      </c>
      <c r="N1" s="51" t="s">
        <v>70</v>
      </c>
      <c r="O1" s="46"/>
      <c r="Q1" s="46"/>
      <c r="R1" s="46"/>
      <c r="T1" s="53"/>
      <c r="U1" s="46" t="s">
        <v>71</v>
      </c>
      <c r="V1" s="54" t="s">
        <v>72</v>
      </c>
      <c r="W1" s="46"/>
      <c r="X1" s="46"/>
      <c r="Y1" s="54">
        <v>4</v>
      </c>
      <c r="Z1" s="46" t="s">
        <v>73</v>
      </c>
      <c r="AA1" s="51" t="s">
        <v>74</v>
      </c>
      <c r="AC1" s="46"/>
      <c r="AD1" s="46"/>
      <c r="AE1" s="47"/>
      <c r="AF1" s="46"/>
      <c r="AG1" s="46"/>
      <c r="AH1" s="47"/>
      <c r="AI1" s="46"/>
      <c r="AJ1" s="46"/>
      <c r="AK1" s="50"/>
      <c r="AL1" s="46"/>
      <c r="AM1" s="46"/>
      <c r="AN1" s="50"/>
      <c r="AO1" s="46"/>
      <c r="AP1" s="46"/>
      <c r="AQ1" s="50"/>
      <c r="AR1" s="46"/>
      <c r="AS1" s="46"/>
      <c r="AT1" s="50"/>
      <c r="AU1" s="56"/>
      <c r="AV1" s="56"/>
      <c r="AW1" s="50"/>
      <c r="AX1" s="46"/>
      <c r="AY1" s="46"/>
      <c r="AZ1" s="46"/>
      <c r="BA1" s="46"/>
      <c r="BB1" s="46"/>
      <c r="BC1" s="57"/>
      <c r="BD1" s="45"/>
      <c r="BE1" s="58"/>
    </row>
    <row r="2" spans="1:57" x14ac:dyDescent="0.2">
      <c r="B2" s="44" t="s">
        <v>75</v>
      </c>
      <c r="C2" s="44"/>
      <c r="D2" s="44"/>
      <c r="E2" s="44"/>
      <c r="F2" s="44"/>
      <c r="G2" s="45"/>
      <c r="H2" s="46"/>
      <c r="I2" s="46"/>
      <c r="J2" s="47"/>
      <c r="L2" s="49">
        <v>8</v>
      </c>
      <c r="M2" s="50" t="s">
        <v>76</v>
      </c>
      <c r="N2" s="51" t="s">
        <v>77</v>
      </c>
      <c r="O2" s="46"/>
      <c r="Q2" s="46"/>
      <c r="R2" s="46"/>
      <c r="S2" s="50"/>
      <c r="T2" s="53">
        <v>19</v>
      </c>
      <c r="U2" s="46" t="s">
        <v>78</v>
      </c>
      <c r="V2" s="47" t="s">
        <v>79</v>
      </c>
      <c r="W2" s="46"/>
      <c r="X2" s="46"/>
      <c r="Y2" s="54">
        <v>8</v>
      </c>
      <c r="Z2" s="46" t="s">
        <v>80</v>
      </c>
      <c r="AA2" s="51" t="s">
        <v>81</v>
      </c>
      <c r="AB2" s="47"/>
      <c r="AC2" s="46"/>
      <c r="AD2" s="46"/>
      <c r="AE2" s="47"/>
      <c r="AF2" s="46"/>
      <c r="AG2" s="46"/>
      <c r="AH2" s="47"/>
      <c r="AI2" s="46"/>
      <c r="AJ2" s="46"/>
      <c r="AK2" s="50"/>
      <c r="AL2" s="46"/>
      <c r="AM2" s="46"/>
      <c r="AN2" s="50"/>
      <c r="AO2" s="46"/>
      <c r="AP2" s="46"/>
      <c r="AQ2" s="50"/>
      <c r="AR2" s="46"/>
      <c r="AS2" s="46"/>
      <c r="AT2" s="50"/>
      <c r="AU2" s="56"/>
      <c r="AV2" s="56"/>
      <c r="AW2" s="50"/>
      <c r="AX2" s="46"/>
      <c r="AY2" s="46"/>
      <c r="AZ2" s="46"/>
      <c r="BA2" s="46"/>
      <c r="BB2" s="46"/>
      <c r="BC2" s="57"/>
      <c r="BD2" s="45"/>
      <c r="BE2" s="58"/>
    </row>
    <row r="3" spans="1:57" x14ac:dyDescent="0.2">
      <c r="B3" s="59" t="s">
        <v>82</v>
      </c>
      <c r="C3" s="44"/>
      <c r="D3" s="44"/>
      <c r="E3" s="44"/>
      <c r="F3" s="44"/>
      <c r="G3" s="45"/>
      <c r="H3" s="46"/>
      <c r="I3" s="46"/>
      <c r="J3" s="47"/>
      <c r="L3" s="49">
        <v>6</v>
      </c>
      <c r="M3" s="50" t="s">
        <v>83</v>
      </c>
      <c r="N3" s="51" t="s">
        <v>84</v>
      </c>
      <c r="O3" s="46"/>
      <c r="Q3" s="46"/>
      <c r="R3" s="46"/>
      <c r="S3" s="50"/>
      <c r="T3" s="53">
        <v>12</v>
      </c>
      <c r="U3" s="46" t="s">
        <v>85</v>
      </c>
      <c r="V3" s="47" t="s">
        <v>86</v>
      </c>
      <c r="W3" s="46"/>
      <c r="X3" s="46"/>
      <c r="Y3" s="54">
        <v>6</v>
      </c>
      <c r="Z3" s="46" t="s">
        <v>87</v>
      </c>
      <c r="AA3" s="51" t="s">
        <v>88</v>
      </c>
      <c r="AB3" s="47"/>
      <c r="AC3" s="46"/>
      <c r="AD3" s="46"/>
      <c r="AE3" s="47"/>
      <c r="AF3" s="46"/>
      <c r="AG3" s="46"/>
      <c r="AH3" s="47"/>
      <c r="AI3" s="46"/>
      <c r="AJ3" s="46"/>
      <c r="AK3" s="50"/>
      <c r="AL3" s="46"/>
      <c r="AM3" s="46"/>
      <c r="AN3" s="50"/>
      <c r="AO3" s="46"/>
      <c r="AP3" s="46"/>
      <c r="AQ3" s="50"/>
      <c r="AR3" s="46"/>
      <c r="AS3" s="46"/>
      <c r="AT3" s="50"/>
      <c r="AU3" s="56"/>
      <c r="AV3" s="56"/>
      <c r="AW3" s="50"/>
      <c r="AX3" s="46"/>
      <c r="AY3" s="46"/>
      <c r="AZ3" s="46"/>
      <c r="BA3" s="46"/>
      <c r="BB3" s="46"/>
      <c r="BC3" s="57"/>
      <c r="BD3" s="45"/>
      <c r="BE3" s="58"/>
    </row>
    <row r="4" spans="1:57" ht="13.5" thickBot="1" x14ac:dyDescent="0.25">
      <c r="B4" s="44" t="s">
        <v>89</v>
      </c>
      <c r="C4" s="44"/>
      <c r="D4" s="44"/>
      <c r="E4" s="44"/>
      <c r="F4" s="44"/>
      <c r="G4" s="45"/>
      <c r="I4" s="46"/>
      <c r="J4" s="47"/>
      <c r="L4" s="46"/>
      <c r="Q4" s="46"/>
      <c r="R4" s="46"/>
      <c r="S4" s="50"/>
      <c r="W4" s="46"/>
      <c r="X4" s="46"/>
      <c r="Y4" s="50"/>
      <c r="Z4" s="46"/>
      <c r="AA4" s="46"/>
      <c r="AB4" s="47"/>
      <c r="AC4" s="46"/>
      <c r="AD4" s="46"/>
      <c r="AE4" s="47"/>
      <c r="AF4" s="46"/>
      <c r="AG4" s="46"/>
      <c r="AH4" s="47"/>
      <c r="AI4" s="46"/>
      <c r="AJ4" s="46"/>
      <c r="AK4" s="50"/>
      <c r="AL4" s="46"/>
      <c r="AM4" s="46"/>
      <c r="AN4" s="50"/>
      <c r="AO4" s="46"/>
      <c r="AP4" s="46"/>
      <c r="AQ4" s="50"/>
      <c r="AR4" s="46"/>
      <c r="AS4" s="46"/>
      <c r="AT4" s="50"/>
      <c r="AU4" s="56"/>
      <c r="AV4" s="56"/>
      <c r="AW4" s="50"/>
      <c r="AX4" s="46"/>
      <c r="AY4" s="46"/>
      <c r="AZ4" s="46"/>
      <c r="BA4" s="46"/>
      <c r="BB4" s="46"/>
      <c r="BC4" s="57"/>
      <c r="BD4" s="60">
        <v>47020431</v>
      </c>
      <c r="BE4" s="58"/>
    </row>
    <row r="5" spans="1:57" s="54" customFormat="1" ht="15" customHeight="1" thickBot="1" x14ac:dyDescent="0.25">
      <c r="B5" s="61"/>
      <c r="C5" s="61"/>
      <c r="D5" s="61"/>
      <c r="E5" s="44"/>
      <c r="F5" s="44"/>
      <c r="G5" s="45"/>
      <c r="H5" s="62" t="s">
        <v>90</v>
      </c>
      <c r="I5" s="63"/>
      <c r="J5" s="64"/>
      <c r="K5" s="65" t="s">
        <v>91</v>
      </c>
      <c r="L5" s="66"/>
      <c r="M5" s="67"/>
      <c r="N5" s="65" t="s">
        <v>92</v>
      </c>
      <c r="O5" s="66"/>
      <c r="P5" s="67"/>
      <c r="Q5" s="65" t="s">
        <v>93</v>
      </c>
      <c r="R5" s="66"/>
      <c r="S5" s="67"/>
      <c r="T5" s="65" t="s">
        <v>94</v>
      </c>
      <c r="U5" s="66"/>
      <c r="V5" s="67"/>
      <c r="W5" s="65" t="s">
        <v>95</v>
      </c>
      <c r="X5" s="66"/>
      <c r="Y5" s="67"/>
      <c r="Z5" s="65" t="s">
        <v>96</v>
      </c>
      <c r="AA5" s="66"/>
      <c r="AB5" s="67"/>
      <c r="AC5" s="65" t="s">
        <v>97</v>
      </c>
      <c r="AD5" s="66"/>
      <c r="AE5" s="67"/>
      <c r="AF5" s="65" t="s">
        <v>98</v>
      </c>
      <c r="AG5" s="66"/>
      <c r="AH5" s="67"/>
      <c r="AI5" s="68" t="s">
        <v>99</v>
      </c>
      <c r="AJ5" s="69"/>
      <c r="AK5" s="70"/>
      <c r="AL5" s="65" t="s">
        <v>100</v>
      </c>
      <c r="AM5" s="66"/>
      <c r="AN5" s="67"/>
      <c r="AO5" s="65" t="s">
        <v>101</v>
      </c>
      <c r="AP5" s="66"/>
      <c r="AQ5" s="67"/>
      <c r="AR5" s="65" t="s">
        <v>102</v>
      </c>
      <c r="AS5" s="66"/>
      <c r="AT5" s="67"/>
      <c r="AU5" s="65" t="s">
        <v>103</v>
      </c>
      <c r="AV5" s="66"/>
      <c r="AW5" s="67"/>
      <c r="AX5" s="46"/>
      <c r="AY5" s="46"/>
      <c r="AZ5" s="46"/>
      <c r="BA5" s="46"/>
      <c r="BB5" s="46"/>
      <c r="BC5" s="57"/>
      <c r="BD5" s="45"/>
      <c r="BE5" s="58"/>
    </row>
    <row r="6" spans="1:57" ht="54" customHeight="1" thickBot="1" x14ac:dyDescent="0.25">
      <c r="A6" s="27" t="s">
        <v>104</v>
      </c>
      <c r="B6" s="27" t="s">
        <v>105</v>
      </c>
      <c r="C6" s="27"/>
      <c r="D6" s="27" t="s">
        <v>106</v>
      </c>
      <c r="E6" s="27" t="s">
        <v>107</v>
      </c>
      <c r="F6" s="27" t="s">
        <v>108</v>
      </c>
      <c r="G6" s="71" t="s">
        <v>109</v>
      </c>
      <c r="H6" s="72" t="s">
        <v>110</v>
      </c>
      <c r="I6" s="73" t="s">
        <v>111</v>
      </c>
      <c r="J6" s="74" t="s">
        <v>112</v>
      </c>
      <c r="K6" s="72" t="s">
        <v>113</v>
      </c>
      <c r="L6" s="73" t="s">
        <v>114</v>
      </c>
      <c r="M6" s="74" t="s">
        <v>115</v>
      </c>
      <c r="N6" s="72" t="s">
        <v>116</v>
      </c>
      <c r="O6" s="73" t="s">
        <v>117</v>
      </c>
      <c r="P6" s="74" t="s">
        <v>118</v>
      </c>
      <c r="Q6" s="72" t="s">
        <v>119</v>
      </c>
      <c r="R6" s="73" t="s">
        <v>120</v>
      </c>
      <c r="S6" s="74" t="s">
        <v>121</v>
      </c>
      <c r="T6" s="72" t="s">
        <v>122</v>
      </c>
      <c r="U6" s="73" t="s">
        <v>123</v>
      </c>
      <c r="V6" s="74" t="s">
        <v>124</v>
      </c>
      <c r="W6" s="72" t="s">
        <v>125</v>
      </c>
      <c r="X6" s="73" t="s">
        <v>126</v>
      </c>
      <c r="Y6" s="74" t="s">
        <v>127</v>
      </c>
      <c r="Z6" s="72" t="s">
        <v>128</v>
      </c>
      <c r="AA6" s="73" t="s">
        <v>129</v>
      </c>
      <c r="AB6" s="74" t="s">
        <v>130</v>
      </c>
      <c r="AC6" s="72" t="s">
        <v>131</v>
      </c>
      <c r="AD6" s="73" t="s">
        <v>132</v>
      </c>
      <c r="AE6" s="74" t="s">
        <v>133</v>
      </c>
      <c r="AF6" s="72" t="s">
        <v>134</v>
      </c>
      <c r="AG6" s="73" t="s">
        <v>135</v>
      </c>
      <c r="AH6" s="74" t="s">
        <v>136</v>
      </c>
      <c r="AI6" s="72" t="s">
        <v>137</v>
      </c>
      <c r="AJ6" s="73" t="s">
        <v>138</v>
      </c>
      <c r="AK6" s="74" t="s">
        <v>139</v>
      </c>
      <c r="AL6" s="72" t="s">
        <v>140</v>
      </c>
      <c r="AM6" s="73" t="s">
        <v>141</v>
      </c>
      <c r="AN6" s="74" t="s">
        <v>142</v>
      </c>
      <c r="AO6" s="72" t="s">
        <v>143</v>
      </c>
      <c r="AP6" s="73" t="s">
        <v>144</v>
      </c>
      <c r="AQ6" s="74" t="s">
        <v>145</v>
      </c>
      <c r="AR6" s="72" t="s">
        <v>146</v>
      </c>
      <c r="AS6" s="73" t="s">
        <v>147</v>
      </c>
      <c r="AT6" s="74" t="s">
        <v>148</v>
      </c>
      <c r="AU6" s="72" t="s">
        <v>149</v>
      </c>
      <c r="AV6" s="73" t="s">
        <v>150</v>
      </c>
      <c r="AW6" s="74" t="s">
        <v>151</v>
      </c>
      <c r="AX6" s="72" t="s">
        <v>152</v>
      </c>
      <c r="AY6" s="73" t="s">
        <v>153</v>
      </c>
      <c r="AZ6" s="73" t="s">
        <v>154</v>
      </c>
      <c r="BA6" s="73" t="s">
        <v>155</v>
      </c>
      <c r="BB6" s="73" t="s">
        <v>156</v>
      </c>
      <c r="BC6" s="73" t="s">
        <v>157</v>
      </c>
      <c r="BD6" s="73" t="s">
        <v>158</v>
      </c>
      <c r="BE6" s="74" t="s">
        <v>159</v>
      </c>
    </row>
    <row r="7" spans="1:57" ht="21.75" customHeight="1" thickBot="1" x14ac:dyDescent="0.25">
      <c r="A7" s="75">
        <v>1</v>
      </c>
      <c r="B7" s="75">
        <v>113355</v>
      </c>
      <c r="C7" s="75" t="s">
        <v>160</v>
      </c>
      <c r="D7" s="75" t="s">
        <v>161</v>
      </c>
      <c r="E7" s="75" t="s">
        <v>162</v>
      </c>
      <c r="F7" s="75" t="s">
        <v>163</v>
      </c>
      <c r="G7" s="76">
        <f>BD7</f>
        <v>351.06</v>
      </c>
      <c r="H7" s="77">
        <v>2046.84</v>
      </c>
      <c r="I7" s="78">
        <v>6926.2</v>
      </c>
      <c r="J7" s="79">
        <v>82.37</v>
      </c>
      <c r="K7" s="77">
        <v>2313.34</v>
      </c>
      <c r="L7" s="78">
        <v>6093.21</v>
      </c>
      <c r="M7" s="79">
        <v>93.09</v>
      </c>
      <c r="N7" s="77">
        <v>1478.28</v>
      </c>
      <c r="O7" s="78">
        <v>6729.5</v>
      </c>
      <c r="P7" s="79">
        <v>59.49</v>
      </c>
      <c r="Q7" s="77">
        <v>648.88</v>
      </c>
      <c r="R7" s="78">
        <v>933.88</v>
      </c>
      <c r="S7" s="79">
        <v>26.11</v>
      </c>
      <c r="T7" s="77"/>
      <c r="U7" s="78"/>
      <c r="V7" s="79"/>
      <c r="W7" s="77"/>
      <c r="X7" s="78"/>
      <c r="Y7" s="79"/>
      <c r="Z7" s="77">
        <v>446.57</v>
      </c>
      <c r="AA7" s="78"/>
      <c r="AB7" s="79">
        <v>77</v>
      </c>
      <c r="AC7" s="77">
        <v>92.56</v>
      </c>
      <c r="AD7" s="78">
        <v>5028.58</v>
      </c>
      <c r="AE7" s="79">
        <v>13</v>
      </c>
      <c r="AF7" s="77"/>
      <c r="AG7" s="78"/>
      <c r="AH7" s="79"/>
      <c r="AI7" s="77"/>
      <c r="AJ7" s="78"/>
      <c r="AK7" s="79"/>
      <c r="AL7" s="77"/>
      <c r="AM7" s="78"/>
      <c r="AN7" s="79"/>
      <c r="AO7" s="77"/>
      <c r="AP7" s="78"/>
      <c r="AQ7" s="79"/>
      <c r="AR7" s="77"/>
      <c r="AS7" s="78"/>
      <c r="AT7" s="79"/>
      <c r="AU7" s="77"/>
      <c r="AV7" s="78"/>
      <c r="AW7" s="79"/>
      <c r="AX7" s="77">
        <f t="shared" ref="AX7:AY43" si="0">H7+K7+N7+T7+Q7+W7+Z7+AC7+AF7+AI7+AL7+AO7+AR7+AU7</f>
        <v>7026.47</v>
      </c>
      <c r="AY7" s="78">
        <f t="shared" si="0"/>
        <v>25711.370000000003</v>
      </c>
      <c r="AZ7" s="78">
        <f t="shared" ref="AZ7:AZ44" si="1">H7+I7+K7+L7+N7+O7+Q7+R7+T7+U7+W7+X7+Z7+AA7+AC7+AD7+AF7+AG7+AI7+AJ7+AL7+AM7+AO7+AP7+AR7+AS7+AU7+AV7</f>
        <v>32737.840000000004</v>
      </c>
      <c r="BA7" s="78">
        <v>4910.68</v>
      </c>
      <c r="BB7" s="78">
        <v>3273.7840000000006</v>
      </c>
      <c r="BC7" s="80">
        <f t="shared" ref="BC7:BC43" si="2">COUNT(H7,K7,N7,Q7,T7,W7,Z7,AC7,AF7,AI7,AL7,AO7,AR7,AU7)</f>
        <v>6</v>
      </c>
      <c r="BD7" s="80">
        <f>J7+M7+P7+V7+S7+Y7+AB7+AE7+AH7+AK7+AN7+AQ7+AT7+AW7</f>
        <v>351.06</v>
      </c>
      <c r="BE7" s="78">
        <v>40922.300000000003</v>
      </c>
    </row>
    <row r="8" spans="1:57" ht="21.75" customHeight="1" thickBot="1" x14ac:dyDescent="0.25">
      <c r="A8" s="81">
        <v>2</v>
      </c>
      <c r="B8" s="81">
        <v>114080</v>
      </c>
      <c r="C8" s="81" t="s">
        <v>164</v>
      </c>
      <c r="D8" s="81" t="s">
        <v>165</v>
      </c>
      <c r="E8" s="81" t="s">
        <v>166</v>
      </c>
      <c r="F8" s="81" t="s">
        <v>163</v>
      </c>
      <c r="G8" s="82">
        <f t="shared" ref="G8:G43" si="3">BD8</f>
        <v>183.11</v>
      </c>
      <c r="H8" s="83">
        <v>2309.2600000000002</v>
      </c>
      <c r="I8" s="84">
        <v>677.72</v>
      </c>
      <c r="J8" s="85">
        <v>92.93</v>
      </c>
      <c r="K8" s="83"/>
      <c r="L8" s="84"/>
      <c r="M8" s="85"/>
      <c r="N8" s="83">
        <v>1296.08</v>
      </c>
      <c r="O8" s="84">
        <v>1989.73</v>
      </c>
      <c r="P8" s="85">
        <v>52.16</v>
      </c>
      <c r="Q8" s="83">
        <v>621.85</v>
      </c>
      <c r="R8" s="84">
        <v>1766.26</v>
      </c>
      <c r="S8" s="85">
        <v>25.02</v>
      </c>
      <c r="T8" s="83"/>
      <c r="U8" s="84"/>
      <c r="V8" s="85"/>
      <c r="W8" s="83"/>
      <c r="X8" s="84"/>
      <c r="Y8" s="85"/>
      <c r="Z8" s="83"/>
      <c r="AA8" s="84"/>
      <c r="AB8" s="85"/>
      <c r="AC8" s="83">
        <v>92.56</v>
      </c>
      <c r="AD8" s="84">
        <v>3791.18</v>
      </c>
      <c r="AE8" s="85">
        <v>13</v>
      </c>
      <c r="AF8" s="83"/>
      <c r="AG8" s="84"/>
      <c r="AH8" s="85"/>
      <c r="AI8" s="83"/>
      <c r="AJ8" s="84"/>
      <c r="AK8" s="85"/>
      <c r="AL8" s="83"/>
      <c r="AM8" s="84"/>
      <c r="AN8" s="85"/>
      <c r="AO8" s="83"/>
      <c r="AP8" s="84"/>
      <c r="AQ8" s="85"/>
      <c r="AR8" s="83"/>
      <c r="AS8" s="84"/>
      <c r="AT8" s="85"/>
      <c r="AU8" s="83"/>
      <c r="AV8" s="84"/>
      <c r="AW8" s="85"/>
      <c r="AX8" s="83">
        <f t="shared" si="0"/>
        <v>4319.7500000000009</v>
      </c>
      <c r="AY8" s="84">
        <f t="shared" si="0"/>
        <v>8224.89</v>
      </c>
      <c r="AZ8" s="84">
        <f t="shared" si="1"/>
        <v>12544.640000000001</v>
      </c>
      <c r="BA8" s="84">
        <v>1881.7</v>
      </c>
      <c r="BB8" s="84">
        <v>1254.4639999999999</v>
      </c>
      <c r="BC8" s="86">
        <f t="shared" si="2"/>
        <v>4</v>
      </c>
      <c r="BD8" s="86">
        <f t="shared" ref="BD8:BD43" si="4">J8+M8+P8+V8+S8+Y8+AB8+AE8+AH8+AK8+AN8+AQ8+AT8+AW8</f>
        <v>183.11</v>
      </c>
      <c r="BE8" s="84">
        <v>15680.8</v>
      </c>
    </row>
    <row r="9" spans="1:57" ht="21.75" customHeight="1" thickBot="1" x14ac:dyDescent="0.25">
      <c r="A9" s="75">
        <v>3</v>
      </c>
      <c r="B9" s="75">
        <v>114446</v>
      </c>
      <c r="C9" s="75" t="s">
        <v>167</v>
      </c>
      <c r="D9" s="75" t="s">
        <v>168</v>
      </c>
      <c r="E9" s="75" t="s">
        <v>169</v>
      </c>
      <c r="F9" s="75" t="s">
        <v>170</v>
      </c>
      <c r="G9" s="76">
        <f t="shared" si="3"/>
        <v>178.14</v>
      </c>
      <c r="H9" s="77">
        <v>1959.37</v>
      </c>
      <c r="I9" s="78">
        <v>4163.91</v>
      </c>
      <c r="J9" s="79">
        <v>78.849999999999994</v>
      </c>
      <c r="K9" s="77"/>
      <c r="L9" s="78"/>
      <c r="M9" s="79"/>
      <c r="N9" s="77">
        <v>1157.81</v>
      </c>
      <c r="O9" s="78">
        <v>2203.35</v>
      </c>
      <c r="P9" s="79">
        <v>46.59</v>
      </c>
      <c r="Q9" s="77">
        <v>140.09</v>
      </c>
      <c r="R9" s="78"/>
      <c r="S9" s="79">
        <v>8.6999999999999993</v>
      </c>
      <c r="T9" s="77"/>
      <c r="U9" s="78"/>
      <c r="V9" s="79"/>
      <c r="W9" s="77">
        <v>0.03</v>
      </c>
      <c r="X9" s="78">
        <v>435.6</v>
      </c>
      <c r="Y9" s="79">
        <v>21</v>
      </c>
      <c r="Z9" s="77"/>
      <c r="AA9" s="78"/>
      <c r="AB9" s="79"/>
      <c r="AC9" s="77">
        <v>92.56</v>
      </c>
      <c r="AD9" s="78">
        <v>5006.66</v>
      </c>
      <c r="AE9" s="79">
        <v>13</v>
      </c>
      <c r="AF9" s="77"/>
      <c r="AG9" s="78"/>
      <c r="AH9" s="79"/>
      <c r="AI9" s="77"/>
      <c r="AJ9" s="78"/>
      <c r="AK9" s="79"/>
      <c r="AL9" s="77">
        <v>2.56</v>
      </c>
      <c r="AM9" s="78">
        <v>0</v>
      </c>
      <c r="AN9" s="79">
        <v>5</v>
      </c>
      <c r="AO9" s="77">
        <v>27.1</v>
      </c>
      <c r="AP9" s="78">
        <v>10.91</v>
      </c>
      <c r="AQ9" s="79">
        <v>5</v>
      </c>
      <c r="AR9" s="77"/>
      <c r="AS9" s="78"/>
      <c r="AT9" s="79"/>
      <c r="AU9" s="77"/>
      <c r="AV9" s="78"/>
      <c r="AW9" s="79"/>
      <c r="AX9" s="77">
        <f t="shared" si="0"/>
        <v>3379.52</v>
      </c>
      <c r="AY9" s="78">
        <f t="shared" si="0"/>
        <v>11820.43</v>
      </c>
      <c r="AZ9" s="78">
        <f t="shared" si="1"/>
        <v>15199.95</v>
      </c>
      <c r="BA9" s="78">
        <v>2279.9899999999998</v>
      </c>
      <c r="BB9" s="78">
        <v>1519.9920000000002</v>
      </c>
      <c r="BC9" s="80">
        <f t="shared" si="2"/>
        <v>7</v>
      </c>
      <c r="BD9" s="80">
        <f>J9+M9+P9+V9+S9+Y9+AB9+AE9+AH9+AK9+AN9+AQ9+AT9+AW9</f>
        <v>178.14</v>
      </c>
      <c r="BE9" s="78">
        <v>18999.900000000001</v>
      </c>
    </row>
    <row r="10" spans="1:57" ht="21.75" customHeight="1" thickBot="1" x14ac:dyDescent="0.25">
      <c r="A10" s="81">
        <v>4</v>
      </c>
      <c r="B10" s="81">
        <v>114733</v>
      </c>
      <c r="C10" s="81" t="s">
        <v>171</v>
      </c>
      <c r="D10" s="81" t="s">
        <v>168</v>
      </c>
      <c r="E10" s="81" t="s">
        <v>169</v>
      </c>
      <c r="F10" s="81" t="s">
        <v>170</v>
      </c>
      <c r="G10" s="82">
        <f t="shared" si="3"/>
        <v>113.8</v>
      </c>
      <c r="H10" s="83">
        <v>1858.78</v>
      </c>
      <c r="I10" s="84">
        <v>1577.19</v>
      </c>
      <c r="J10" s="85">
        <v>74.8</v>
      </c>
      <c r="K10" s="83"/>
      <c r="L10" s="84"/>
      <c r="M10" s="85"/>
      <c r="N10" s="83"/>
      <c r="O10" s="84"/>
      <c r="P10" s="85"/>
      <c r="Q10" s="83"/>
      <c r="R10" s="84"/>
      <c r="S10" s="85"/>
      <c r="T10" s="83"/>
      <c r="U10" s="84"/>
      <c r="V10" s="85"/>
      <c r="W10" s="83">
        <v>113.82</v>
      </c>
      <c r="X10" s="84">
        <v>496.02</v>
      </c>
      <c r="Y10" s="85">
        <v>21</v>
      </c>
      <c r="Z10" s="83"/>
      <c r="AA10" s="84"/>
      <c r="AB10" s="85"/>
      <c r="AC10" s="83">
        <v>92.56</v>
      </c>
      <c r="AD10" s="84">
        <v>2936.52</v>
      </c>
      <c r="AE10" s="85">
        <v>13</v>
      </c>
      <c r="AF10" s="83"/>
      <c r="AG10" s="84"/>
      <c r="AH10" s="85"/>
      <c r="AI10" s="83"/>
      <c r="AJ10" s="84"/>
      <c r="AK10" s="85"/>
      <c r="AL10" s="83">
        <v>7.4</v>
      </c>
      <c r="AM10" s="84">
        <v>0</v>
      </c>
      <c r="AN10" s="85">
        <v>5</v>
      </c>
      <c r="AO10" s="83"/>
      <c r="AP10" s="84"/>
      <c r="AQ10" s="85"/>
      <c r="AR10" s="83"/>
      <c r="AS10" s="84"/>
      <c r="AT10" s="85"/>
      <c r="AU10" s="83"/>
      <c r="AV10" s="84"/>
      <c r="AW10" s="85"/>
      <c r="AX10" s="83">
        <f t="shared" si="0"/>
        <v>2072.56</v>
      </c>
      <c r="AY10" s="84">
        <f t="shared" si="0"/>
        <v>5009.7299999999996</v>
      </c>
      <c r="AZ10" s="84">
        <f t="shared" si="1"/>
        <v>7082.2900000000009</v>
      </c>
      <c r="BA10" s="84">
        <v>1062.3399999999999</v>
      </c>
      <c r="BB10" s="84">
        <v>708.22899999999993</v>
      </c>
      <c r="BC10" s="86">
        <f t="shared" si="2"/>
        <v>4</v>
      </c>
      <c r="BD10" s="86">
        <f t="shared" si="4"/>
        <v>113.8</v>
      </c>
      <c r="BE10" s="84">
        <v>8852.86</v>
      </c>
    </row>
    <row r="11" spans="1:57" ht="21.75" customHeight="1" thickBot="1" x14ac:dyDescent="0.25">
      <c r="A11" s="75">
        <v>5</v>
      </c>
      <c r="B11" s="75">
        <v>115922</v>
      </c>
      <c r="C11" s="75" t="s">
        <v>172</v>
      </c>
      <c r="D11" s="75" t="s">
        <v>168</v>
      </c>
      <c r="E11" s="75" t="s">
        <v>169</v>
      </c>
      <c r="F11" s="75" t="s">
        <v>170</v>
      </c>
      <c r="G11" s="76">
        <f t="shared" si="3"/>
        <v>124.2</v>
      </c>
      <c r="H11" s="77">
        <v>2462.34</v>
      </c>
      <c r="I11" s="78">
        <v>10361.799999999999</v>
      </c>
      <c r="J11" s="79">
        <v>99.09</v>
      </c>
      <c r="K11" s="77"/>
      <c r="L11" s="78"/>
      <c r="M11" s="79"/>
      <c r="N11" s="77">
        <v>98.21</v>
      </c>
      <c r="O11" s="78">
        <v>2043.83</v>
      </c>
      <c r="P11" s="79">
        <v>3.95</v>
      </c>
      <c r="Q11" s="77">
        <v>202.78</v>
      </c>
      <c r="R11" s="78">
        <v>1728.6</v>
      </c>
      <c r="S11" s="79">
        <v>8.16</v>
      </c>
      <c r="T11" s="77"/>
      <c r="U11" s="78"/>
      <c r="V11" s="79"/>
      <c r="W11" s="77"/>
      <c r="X11" s="78"/>
      <c r="Y11" s="79"/>
      <c r="Z11" s="77"/>
      <c r="AA11" s="78"/>
      <c r="AB11" s="79"/>
      <c r="AC11" s="77">
        <v>92.56</v>
      </c>
      <c r="AD11" s="78">
        <v>3984.62</v>
      </c>
      <c r="AE11" s="79">
        <v>13</v>
      </c>
      <c r="AF11" s="77"/>
      <c r="AG11" s="78"/>
      <c r="AH11" s="79"/>
      <c r="AI11" s="77"/>
      <c r="AJ11" s="78"/>
      <c r="AK11" s="79"/>
      <c r="AL11" s="77"/>
      <c r="AM11" s="78"/>
      <c r="AN11" s="79"/>
      <c r="AO11" s="77"/>
      <c r="AP11" s="78"/>
      <c r="AQ11" s="79"/>
      <c r="AR11" s="77"/>
      <c r="AS11" s="78"/>
      <c r="AT11" s="79"/>
      <c r="AU11" s="77"/>
      <c r="AV11" s="78"/>
      <c r="AW11" s="79"/>
      <c r="AX11" s="77">
        <f t="shared" si="0"/>
        <v>2855.8900000000003</v>
      </c>
      <c r="AY11" s="78">
        <f t="shared" si="0"/>
        <v>18118.849999999999</v>
      </c>
      <c r="AZ11" s="78">
        <f t="shared" si="1"/>
        <v>20974.739999999998</v>
      </c>
      <c r="BA11" s="78">
        <v>3146.21</v>
      </c>
      <c r="BB11" s="78">
        <v>2097.4749999999999</v>
      </c>
      <c r="BC11" s="80">
        <f t="shared" si="2"/>
        <v>4</v>
      </c>
      <c r="BD11" s="80">
        <f t="shared" si="4"/>
        <v>124.2</v>
      </c>
      <c r="BE11" s="78">
        <v>26218.43</v>
      </c>
    </row>
    <row r="12" spans="1:57" ht="21.75" customHeight="1" thickBot="1" x14ac:dyDescent="0.25">
      <c r="A12" s="81">
        <v>6</v>
      </c>
      <c r="B12" s="81">
        <v>116471</v>
      </c>
      <c r="C12" s="81" t="s">
        <v>173</v>
      </c>
      <c r="D12" s="81" t="s">
        <v>174</v>
      </c>
      <c r="E12" s="81" t="s">
        <v>175</v>
      </c>
      <c r="F12" s="81" t="s">
        <v>163</v>
      </c>
      <c r="G12" s="82">
        <f t="shared" si="3"/>
        <v>382.44</v>
      </c>
      <c r="H12" s="83">
        <v>2102.65</v>
      </c>
      <c r="I12" s="84"/>
      <c r="J12" s="85">
        <v>114.05</v>
      </c>
      <c r="K12" s="83"/>
      <c r="L12" s="84"/>
      <c r="M12" s="85"/>
      <c r="N12" s="83">
        <v>1674.69</v>
      </c>
      <c r="O12" s="84">
        <v>4056.25</v>
      </c>
      <c r="P12" s="85">
        <v>67.39</v>
      </c>
      <c r="Q12" s="83"/>
      <c r="R12" s="84"/>
      <c r="S12" s="85"/>
      <c r="T12" s="83"/>
      <c r="U12" s="84"/>
      <c r="V12" s="85"/>
      <c r="W12" s="83"/>
      <c r="X12" s="84"/>
      <c r="Y12" s="85"/>
      <c r="Z12" s="83">
        <v>548.24</v>
      </c>
      <c r="AA12" s="84">
        <v>925.44</v>
      </c>
      <c r="AB12" s="85">
        <v>77</v>
      </c>
      <c r="AC12" s="83">
        <v>92.56</v>
      </c>
      <c r="AD12" s="84">
        <v>2528.9299999999998</v>
      </c>
      <c r="AE12" s="85">
        <v>13</v>
      </c>
      <c r="AF12" s="83">
        <v>1102.23</v>
      </c>
      <c r="AG12" s="84">
        <v>5522.64</v>
      </c>
      <c r="AH12" s="85">
        <v>111</v>
      </c>
      <c r="AI12" s="83"/>
      <c r="AJ12" s="84"/>
      <c r="AK12" s="85"/>
      <c r="AL12" s="83"/>
      <c r="AM12" s="84"/>
      <c r="AN12" s="85"/>
      <c r="AO12" s="83"/>
      <c r="AP12" s="84"/>
      <c r="AQ12" s="85"/>
      <c r="AR12" s="83"/>
      <c r="AS12" s="84"/>
      <c r="AT12" s="85"/>
      <c r="AU12" s="83"/>
      <c r="AV12" s="84"/>
      <c r="AW12" s="85"/>
      <c r="AX12" s="83">
        <f t="shared" si="0"/>
        <v>5520.3700000000008</v>
      </c>
      <c r="AY12" s="84">
        <f t="shared" si="0"/>
        <v>13033.260000000002</v>
      </c>
      <c r="AZ12" s="84">
        <f t="shared" si="1"/>
        <v>18553.63</v>
      </c>
      <c r="BA12" s="84">
        <f>2783.04</f>
        <v>2783.04</v>
      </c>
      <c r="BB12" s="84">
        <v>1855.3630000000003</v>
      </c>
      <c r="BC12" s="86">
        <f t="shared" si="2"/>
        <v>5</v>
      </c>
      <c r="BD12" s="86">
        <f t="shared" si="4"/>
        <v>382.44</v>
      </c>
      <c r="BE12" s="84">
        <v>23192.04</v>
      </c>
    </row>
    <row r="13" spans="1:57" ht="21.75" customHeight="1" thickBot="1" x14ac:dyDescent="0.25">
      <c r="A13" s="75">
        <v>7</v>
      </c>
      <c r="B13" s="75">
        <v>117398</v>
      </c>
      <c r="C13" s="75" t="s">
        <v>176</v>
      </c>
      <c r="D13" s="75" t="s">
        <v>177</v>
      </c>
      <c r="E13" s="75" t="s">
        <v>178</v>
      </c>
      <c r="F13" s="75" t="s">
        <v>163</v>
      </c>
      <c r="G13" s="76">
        <f t="shared" si="3"/>
        <v>33</v>
      </c>
      <c r="H13" s="77"/>
      <c r="I13" s="78"/>
      <c r="J13" s="79"/>
      <c r="K13" s="77"/>
      <c r="L13" s="78"/>
      <c r="M13" s="79"/>
      <c r="N13" s="77"/>
      <c r="O13" s="78"/>
      <c r="P13" s="79"/>
      <c r="Q13" s="77"/>
      <c r="R13" s="78"/>
      <c r="S13" s="79"/>
      <c r="T13" s="77"/>
      <c r="U13" s="78"/>
      <c r="V13" s="79"/>
      <c r="W13" s="77"/>
      <c r="X13" s="78"/>
      <c r="Y13" s="79"/>
      <c r="Z13" s="77"/>
      <c r="AA13" s="78"/>
      <c r="AB13" s="79"/>
      <c r="AC13" s="77"/>
      <c r="AD13" s="78"/>
      <c r="AE13" s="79"/>
      <c r="AF13" s="77"/>
      <c r="AG13" s="78"/>
      <c r="AH13" s="79"/>
      <c r="AI13" s="77"/>
      <c r="AJ13" s="78"/>
      <c r="AK13" s="79"/>
      <c r="AL13" s="77"/>
      <c r="AM13" s="78"/>
      <c r="AN13" s="79"/>
      <c r="AO13" s="77"/>
      <c r="AP13" s="78"/>
      <c r="AQ13" s="79"/>
      <c r="AR13" s="77"/>
      <c r="AS13" s="78"/>
      <c r="AT13" s="79"/>
      <c r="AU13" s="77">
        <v>216.15</v>
      </c>
      <c r="AV13" s="78">
        <v>2284.87</v>
      </c>
      <c r="AW13" s="79">
        <v>33</v>
      </c>
      <c r="AX13" s="77">
        <f t="shared" si="0"/>
        <v>216.15</v>
      </c>
      <c r="AY13" s="78">
        <f t="shared" si="0"/>
        <v>2284.87</v>
      </c>
      <c r="AZ13" s="78">
        <f>H13+I13+K13+L13+N13+O13+Q13+R13+T13+U13+W13+X13+Z13+AA13+AC13+AD13+AF13+AG13+AI13+AJ13+AL13+AM13+AO13+AP13+AR13+AS13+AU13+AV13</f>
        <v>2501.02</v>
      </c>
      <c r="BA13" s="78">
        <f>375.15</f>
        <v>375.15</v>
      </c>
      <c r="BB13" s="78">
        <v>250.102</v>
      </c>
      <c r="BC13" s="80">
        <f t="shared" si="2"/>
        <v>1</v>
      </c>
      <c r="BD13" s="80">
        <f t="shared" si="4"/>
        <v>33</v>
      </c>
      <c r="BE13" s="78">
        <v>3126.28</v>
      </c>
    </row>
    <row r="14" spans="1:57" ht="21.75" customHeight="1" thickBot="1" x14ac:dyDescent="0.25">
      <c r="A14" s="81">
        <v>8</v>
      </c>
      <c r="B14" s="81">
        <v>117975</v>
      </c>
      <c r="C14" s="81" t="s">
        <v>179</v>
      </c>
      <c r="D14" s="81" t="s">
        <v>165</v>
      </c>
      <c r="E14" s="81" t="s">
        <v>180</v>
      </c>
      <c r="F14" s="81" t="s">
        <v>163</v>
      </c>
      <c r="G14" s="82">
        <f t="shared" si="3"/>
        <v>120.94</v>
      </c>
      <c r="H14" s="83"/>
      <c r="I14" s="84"/>
      <c r="J14" s="85"/>
      <c r="K14" s="83"/>
      <c r="L14" s="84"/>
      <c r="M14" s="85"/>
      <c r="N14" s="83">
        <v>2310.4499999999998</v>
      </c>
      <c r="O14" s="84">
        <v>3592.31</v>
      </c>
      <c r="P14" s="85">
        <v>92.98</v>
      </c>
      <c r="Q14" s="83">
        <v>371.76</v>
      </c>
      <c r="R14" s="84">
        <v>3414.16</v>
      </c>
      <c r="S14" s="85">
        <v>14.96</v>
      </c>
      <c r="T14" s="83"/>
      <c r="U14" s="84"/>
      <c r="V14" s="85"/>
      <c r="W14" s="83"/>
      <c r="X14" s="84"/>
      <c r="Y14" s="85"/>
      <c r="Z14" s="83"/>
      <c r="AA14" s="84"/>
      <c r="AB14" s="85"/>
      <c r="AC14" s="83">
        <v>92.56</v>
      </c>
      <c r="AD14" s="84">
        <v>2772.04</v>
      </c>
      <c r="AE14" s="85">
        <v>13</v>
      </c>
      <c r="AF14" s="83"/>
      <c r="AG14" s="84"/>
      <c r="AH14" s="85"/>
      <c r="AI14" s="83"/>
      <c r="AJ14" s="84"/>
      <c r="AK14" s="85"/>
      <c r="AL14" s="83"/>
      <c r="AM14" s="84"/>
      <c r="AN14" s="85"/>
      <c r="AO14" s="83"/>
      <c r="AP14" s="84"/>
      <c r="AQ14" s="85"/>
      <c r="AR14" s="83"/>
      <c r="AS14" s="84"/>
      <c r="AT14" s="85"/>
      <c r="AU14" s="83"/>
      <c r="AV14" s="84"/>
      <c r="AW14" s="85"/>
      <c r="AX14" s="83">
        <f t="shared" si="0"/>
        <v>2774.77</v>
      </c>
      <c r="AY14" s="84">
        <f t="shared" si="0"/>
        <v>9778.5099999999984</v>
      </c>
      <c r="AZ14" s="84">
        <f t="shared" si="1"/>
        <v>12553.279999999999</v>
      </c>
      <c r="BA14" s="84">
        <v>1882.99</v>
      </c>
      <c r="BB14" s="84">
        <v>1255.328</v>
      </c>
      <c r="BC14" s="86">
        <f t="shared" si="2"/>
        <v>3</v>
      </c>
      <c r="BD14" s="86">
        <f t="shared" si="4"/>
        <v>120.94</v>
      </c>
      <c r="BE14" s="84">
        <v>15691.6</v>
      </c>
    </row>
    <row r="15" spans="1:57" ht="21.75" customHeight="1" thickBot="1" x14ac:dyDescent="0.25">
      <c r="A15" s="75">
        <v>9</v>
      </c>
      <c r="B15" s="75">
        <v>117998</v>
      </c>
      <c r="C15" s="75" t="s">
        <v>181</v>
      </c>
      <c r="D15" s="75" t="s">
        <v>182</v>
      </c>
      <c r="E15" s="75" t="s">
        <v>183</v>
      </c>
      <c r="F15" s="75" t="s">
        <v>170</v>
      </c>
      <c r="G15" s="76">
        <f t="shared" si="3"/>
        <v>358.40999999999997</v>
      </c>
      <c r="H15" s="77">
        <v>2387.9899999999998</v>
      </c>
      <c r="I15" s="78">
        <v>808.1</v>
      </c>
      <c r="J15" s="79">
        <v>96.1</v>
      </c>
      <c r="K15" s="77"/>
      <c r="L15" s="78"/>
      <c r="M15" s="79"/>
      <c r="N15" s="77">
        <v>1411.08</v>
      </c>
      <c r="O15" s="78">
        <v>3562.06</v>
      </c>
      <c r="P15" s="79">
        <v>56.78</v>
      </c>
      <c r="Q15" s="77">
        <v>112.64</v>
      </c>
      <c r="R15" s="78">
        <v>1480.91</v>
      </c>
      <c r="S15" s="79">
        <v>4.53</v>
      </c>
      <c r="T15" s="77"/>
      <c r="U15" s="78"/>
      <c r="V15" s="79"/>
      <c r="W15" s="77"/>
      <c r="X15" s="78"/>
      <c r="Y15" s="79"/>
      <c r="Z15" s="77">
        <v>531.44000000000005</v>
      </c>
      <c r="AA15" s="78"/>
      <c r="AB15" s="79">
        <v>77</v>
      </c>
      <c r="AC15" s="77">
        <v>92.56</v>
      </c>
      <c r="AD15" s="78">
        <v>3751.81</v>
      </c>
      <c r="AE15" s="79">
        <v>13</v>
      </c>
      <c r="AF15" s="77">
        <v>1102.23</v>
      </c>
      <c r="AG15" s="78">
        <v>4915.3900000000003</v>
      </c>
      <c r="AH15" s="79">
        <v>111</v>
      </c>
      <c r="AI15" s="77"/>
      <c r="AJ15" s="78"/>
      <c r="AK15" s="79"/>
      <c r="AL15" s="77"/>
      <c r="AM15" s="78"/>
      <c r="AN15" s="79"/>
      <c r="AO15" s="77"/>
      <c r="AP15" s="78"/>
      <c r="AQ15" s="79"/>
      <c r="AR15" s="77"/>
      <c r="AS15" s="78"/>
      <c r="AT15" s="79"/>
      <c r="AU15" s="77"/>
      <c r="AV15" s="78"/>
      <c r="AW15" s="79"/>
      <c r="AX15" s="77">
        <f t="shared" si="0"/>
        <v>5637.9400000000005</v>
      </c>
      <c r="AY15" s="78">
        <f t="shared" si="0"/>
        <v>14518.27</v>
      </c>
      <c r="AZ15" s="78">
        <f t="shared" si="1"/>
        <v>20156.21</v>
      </c>
      <c r="BA15" s="78">
        <v>3023.43</v>
      </c>
      <c r="BB15" s="78">
        <v>2015.6210000000001</v>
      </c>
      <c r="BC15" s="80">
        <f t="shared" si="2"/>
        <v>6</v>
      </c>
      <c r="BD15" s="80">
        <f t="shared" si="4"/>
        <v>358.40999999999997</v>
      </c>
      <c r="BE15" s="78">
        <v>25195.26</v>
      </c>
    </row>
    <row r="16" spans="1:57" ht="21.75" customHeight="1" thickBot="1" x14ac:dyDescent="0.25">
      <c r="A16" s="81">
        <v>10</v>
      </c>
      <c r="B16" s="81">
        <v>118033</v>
      </c>
      <c r="C16" s="81" t="s">
        <v>184</v>
      </c>
      <c r="D16" s="81" t="s">
        <v>182</v>
      </c>
      <c r="E16" s="81" t="s">
        <v>185</v>
      </c>
      <c r="F16" s="81" t="s">
        <v>170</v>
      </c>
      <c r="G16" s="82">
        <f t="shared" si="3"/>
        <v>204.65</v>
      </c>
      <c r="H16" s="83">
        <v>2151.81</v>
      </c>
      <c r="I16" s="84">
        <v>162.84</v>
      </c>
      <c r="J16" s="85">
        <v>86.59</v>
      </c>
      <c r="K16" s="83">
        <v>2088.9899999999998</v>
      </c>
      <c r="L16" s="84">
        <v>2550.33</v>
      </c>
      <c r="M16" s="85">
        <v>84.06</v>
      </c>
      <c r="N16" s="83"/>
      <c r="O16" s="84"/>
      <c r="P16" s="85"/>
      <c r="Q16" s="83"/>
      <c r="R16" s="84"/>
      <c r="S16" s="85"/>
      <c r="T16" s="83"/>
      <c r="U16" s="84"/>
      <c r="V16" s="85"/>
      <c r="W16" s="83">
        <v>103.84</v>
      </c>
      <c r="X16" s="84">
        <v>0</v>
      </c>
      <c r="Y16" s="85">
        <v>21</v>
      </c>
      <c r="Z16" s="83"/>
      <c r="AA16" s="84"/>
      <c r="AB16" s="85"/>
      <c r="AC16" s="83">
        <v>92.56</v>
      </c>
      <c r="AD16" s="84">
        <v>2562.56</v>
      </c>
      <c r="AE16" s="85">
        <v>13</v>
      </c>
      <c r="AF16" s="83"/>
      <c r="AG16" s="84"/>
      <c r="AH16" s="85"/>
      <c r="AI16" s="83"/>
      <c r="AJ16" s="84"/>
      <c r="AK16" s="85"/>
      <c r="AL16" s="83"/>
      <c r="AM16" s="84"/>
      <c r="AN16" s="85"/>
      <c r="AO16" s="83"/>
      <c r="AP16" s="84"/>
      <c r="AQ16" s="85"/>
      <c r="AR16" s="83"/>
      <c r="AS16" s="84"/>
      <c r="AT16" s="85"/>
      <c r="AU16" s="83"/>
      <c r="AV16" s="84"/>
      <c r="AW16" s="85"/>
      <c r="AX16" s="83">
        <f t="shared" si="0"/>
        <v>4437.2</v>
      </c>
      <c r="AY16" s="84">
        <f t="shared" si="0"/>
        <v>5275.73</v>
      </c>
      <c r="AZ16" s="84">
        <f t="shared" si="1"/>
        <v>9712.93</v>
      </c>
      <c r="BA16" s="84">
        <v>1456.94</v>
      </c>
      <c r="BB16" s="84">
        <v>971.29300000000012</v>
      </c>
      <c r="BC16" s="86">
        <f t="shared" si="2"/>
        <v>4</v>
      </c>
      <c r="BD16" s="86">
        <f t="shared" si="4"/>
        <v>204.65</v>
      </c>
      <c r="BE16" s="84">
        <v>12141.16</v>
      </c>
    </row>
    <row r="17" spans="1:57" ht="21.75" customHeight="1" thickBot="1" x14ac:dyDescent="0.25">
      <c r="A17" s="75">
        <v>11</v>
      </c>
      <c r="B17" s="75">
        <v>119055</v>
      </c>
      <c r="C17" s="75" t="s">
        <v>186</v>
      </c>
      <c r="D17" s="75" t="s">
        <v>165</v>
      </c>
      <c r="E17" s="75" t="s">
        <v>166</v>
      </c>
      <c r="F17" s="75" t="s">
        <v>170</v>
      </c>
      <c r="G17" s="76">
        <f t="shared" si="3"/>
        <v>217.36</v>
      </c>
      <c r="H17" s="77">
        <v>1889.4</v>
      </c>
      <c r="I17" s="78">
        <v>1749.12</v>
      </c>
      <c r="J17" s="79">
        <v>76.03</v>
      </c>
      <c r="K17" s="77"/>
      <c r="L17" s="78"/>
      <c r="M17" s="79"/>
      <c r="N17" s="77">
        <v>1116.46</v>
      </c>
      <c r="O17" s="78">
        <v>2763</v>
      </c>
      <c r="P17" s="79">
        <v>44.93</v>
      </c>
      <c r="Q17" s="77"/>
      <c r="R17" s="78"/>
      <c r="S17" s="79"/>
      <c r="T17" s="77">
        <v>63.55</v>
      </c>
      <c r="U17" s="78">
        <v>15.05</v>
      </c>
      <c r="V17" s="79">
        <v>6.4</v>
      </c>
      <c r="W17" s="77"/>
      <c r="X17" s="78"/>
      <c r="Y17" s="79"/>
      <c r="Z17" s="77">
        <v>548.24</v>
      </c>
      <c r="AA17" s="78">
        <v>1707.97</v>
      </c>
      <c r="AB17" s="79">
        <v>77</v>
      </c>
      <c r="AC17" s="77">
        <v>92.56</v>
      </c>
      <c r="AD17" s="78">
        <v>4842.17</v>
      </c>
      <c r="AE17" s="79">
        <v>13</v>
      </c>
      <c r="AF17" s="77"/>
      <c r="AG17" s="78"/>
      <c r="AH17" s="79"/>
      <c r="AI17" s="77"/>
      <c r="AJ17" s="78"/>
      <c r="AK17" s="79"/>
      <c r="AL17" s="77"/>
      <c r="AM17" s="78"/>
      <c r="AN17" s="79"/>
      <c r="AO17" s="77"/>
      <c r="AP17" s="78"/>
      <c r="AQ17" s="79"/>
      <c r="AR17" s="77"/>
      <c r="AS17" s="78"/>
      <c r="AT17" s="79"/>
      <c r="AU17" s="77"/>
      <c r="AV17" s="78"/>
      <c r="AW17" s="79"/>
      <c r="AX17" s="77">
        <f t="shared" si="0"/>
        <v>3710.2100000000005</v>
      </c>
      <c r="AY17" s="78">
        <f t="shared" si="0"/>
        <v>11077.310000000001</v>
      </c>
      <c r="AZ17" s="78">
        <f t="shared" si="1"/>
        <v>14787.519999999999</v>
      </c>
      <c r="BA17" s="78">
        <v>2218.13</v>
      </c>
      <c r="BB17" s="78">
        <v>1478.7520000000002</v>
      </c>
      <c r="BC17" s="80">
        <f t="shared" si="2"/>
        <v>5</v>
      </c>
      <c r="BD17" s="80">
        <f t="shared" si="4"/>
        <v>217.36</v>
      </c>
      <c r="BE17" s="78">
        <v>18484.400000000001</v>
      </c>
    </row>
    <row r="18" spans="1:57" ht="21.75" customHeight="1" thickBot="1" x14ac:dyDescent="0.25">
      <c r="A18" s="81">
        <v>12</v>
      </c>
      <c r="B18" s="81">
        <v>118291</v>
      </c>
      <c r="C18" s="81" t="s">
        <v>187</v>
      </c>
      <c r="D18" s="81" t="s">
        <v>174</v>
      </c>
      <c r="E18" s="81" t="s">
        <v>188</v>
      </c>
      <c r="F18" s="81" t="s">
        <v>163</v>
      </c>
      <c r="G18" s="82">
        <f t="shared" si="3"/>
        <v>241.48000000000002</v>
      </c>
      <c r="H18" s="83">
        <v>3700.07</v>
      </c>
      <c r="I18" s="84">
        <v>1111.08</v>
      </c>
      <c r="J18" s="85">
        <v>148.9</v>
      </c>
      <c r="K18" s="83"/>
      <c r="L18" s="84"/>
      <c r="M18" s="85"/>
      <c r="N18" s="83"/>
      <c r="O18" s="84"/>
      <c r="P18" s="85"/>
      <c r="Q18" s="83">
        <v>64.209999999999994</v>
      </c>
      <c r="R18" s="84">
        <v>1799.45</v>
      </c>
      <c r="S18" s="85">
        <v>2.58</v>
      </c>
      <c r="T18" s="83"/>
      <c r="U18" s="84"/>
      <c r="V18" s="85"/>
      <c r="W18" s="83"/>
      <c r="X18" s="84"/>
      <c r="Y18" s="85"/>
      <c r="Z18" s="83">
        <v>548.24</v>
      </c>
      <c r="AA18" s="84">
        <v>886.24</v>
      </c>
      <c r="AB18" s="85">
        <v>77</v>
      </c>
      <c r="AC18" s="83">
        <v>92.56</v>
      </c>
      <c r="AD18" s="84">
        <v>2918.69</v>
      </c>
      <c r="AE18" s="85">
        <v>13</v>
      </c>
      <c r="AF18" s="83"/>
      <c r="AG18" s="84"/>
      <c r="AH18" s="85"/>
      <c r="AI18" s="83"/>
      <c r="AJ18" s="84"/>
      <c r="AK18" s="85"/>
      <c r="AL18" s="83"/>
      <c r="AM18" s="84"/>
      <c r="AN18" s="85"/>
      <c r="AO18" s="83"/>
      <c r="AP18" s="84"/>
      <c r="AQ18" s="85"/>
      <c r="AR18" s="83"/>
      <c r="AS18" s="84"/>
      <c r="AT18" s="85"/>
      <c r="AU18" s="83"/>
      <c r="AV18" s="84"/>
      <c r="AW18" s="85"/>
      <c r="AX18" s="83">
        <f t="shared" si="0"/>
        <v>4405.0800000000008</v>
      </c>
      <c r="AY18" s="84">
        <f t="shared" si="0"/>
        <v>6715.4599999999991</v>
      </c>
      <c r="AZ18" s="84">
        <f t="shared" si="1"/>
        <v>11120.539999999999</v>
      </c>
      <c r="BA18" s="84">
        <v>1668.08</v>
      </c>
      <c r="BB18" s="84">
        <v>1112.0540000000001</v>
      </c>
      <c r="BC18" s="86">
        <f t="shared" si="2"/>
        <v>4</v>
      </c>
      <c r="BD18" s="86">
        <f t="shared" si="4"/>
        <v>241.48000000000002</v>
      </c>
      <c r="BE18" s="84">
        <v>13900.68</v>
      </c>
    </row>
    <row r="19" spans="1:57" ht="21.75" customHeight="1" thickBot="1" x14ac:dyDescent="0.25">
      <c r="A19" s="75">
        <v>13</v>
      </c>
      <c r="B19" s="75">
        <v>118421</v>
      </c>
      <c r="C19" s="75" t="s">
        <v>189</v>
      </c>
      <c r="D19" s="75" t="s">
        <v>165</v>
      </c>
      <c r="E19" s="75" t="s">
        <v>190</v>
      </c>
      <c r="F19" s="75" t="s">
        <v>163</v>
      </c>
      <c r="G19" s="76">
        <f t="shared" si="3"/>
        <v>54</v>
      </c>
      <c r="H19" s="77"/>
      <c r="I19" s="78"/>
      <c r="J19" s="79"/>
      <c r="K19" s="77"/>
      <c r="L19" s="78"/>
      <c r="M19" s="79"/>
      <c r="N19" s="77"/>
      <c r="O19" s="78"/>
      <c r="P19" s="79"/>
      <c r="Q19" s="77"/>
      <c r="R19" s="78"/>
      <c r="S19" s="79"/>
      <c r="T19" s="77"/>
      <c r="U19" s="78"/>
      <c r="V19" s="79"/>
      <c r="W19" s="77"/>
      <c r="X19" s="78"/>
      <c r="Y19" s="79"/>
      <c r="Z19" s="77"/>
      <c r="AA19" s="78"/>
      <c r="AB19" s="79"/>
      <c r="AC19" s="77"/>
      <c r="AD19" s="78"/>
      <c r="AE19" s="79"/>
      <c r="AF19" s="77"/>
      <c r="AG19" s="78"/>
      <c r="AH19" s="79"/>
      <c r="AI19" s="77"/>
      <c r="AJ19" s="78"/>
      <c r="AK19" s="79"/>
      <c r="AL19" s="77"/>
      <c r="AM19" s="78"/>
      <c r="AN19" s="79"/>
      <c r="AO19" s="77"/>
      <c r="AP19" s="78"/>
      <c r="AQ19" s="79"/>
      <c r="AR19" s="77">
        <v>536.22</v>
      </c>
      <c r="AS19" s="78">
        <v>4383.28</v>
      </c>
      <c r="AT19" s="79">
        <v>54</v>
      </c>
      <c r="AU19" s="77"/>
      <c r="AV19" s="78"/>
      <c r="AW19" s="79"/>
      <c r="AX19" s="77">
        <f t="shared" si="0"/>
        <v>536.22</v>
      </c>
      <c r="AY19" s="78">
        <f t="shared" si="0"/>
        <v>4383.28</v>
      </c>
      <c r="AZ19" s="78">
        <f t="shared" si="1"/>
        <v>4919.5</v>
      </c>
      <c r="BA19" s="78">
        <v>737.93</v>
      </c>
      <c r="BB19" s="78">
        <v>491.95000000000005</v>
      </c>
      <c r="BC19" s="80">
        <f t="shared" si="2"/>
        <v>1</v>
      </c>
      <c r="BD19" s="80">
        <f t="shared" si="4"/>
        <v>54</v>
      </c>
      <c r="BE19" s="78">
        <v>6149.38</v>
      </c>
    </row>
    <row r="20" spans="1:57" ht="21.75" customHeight="1" thickBot="1" x14ac:dyDescent="0.25">
      <c r="A20" s="81">
        <v>14</v>
      </c>
      <c r="B20" s="81">
        <v>119064</v>
      </c>
      <c r="C20" s="81" t="s">
        <v>191</v>
      </c>
      <c r="D20" s="81" t="s">
        <v>168</v>
      </c>
      <c r="E20" s="81" t="s">
        <v>169</v>
      </c>
      <c r="F20" s="81" t="s">
        <v>170</v>
      </c>
      <c r="G20" s="82">
        <f t="shared" si="3"/>
        <v>232</v>
      </c>
      <c r="H20" s="83"/>
      <c r="I20" s="84"/>
      <c r="J20" s="85"/>
      <c r="K20" s="83"/>
      <c r="L20" s="84"/>
      <c r="M20" s="85"/>
      <c r="N20" s="83">
        <v>1535.13</v>
      </c>
      <c r="O20" s="84">
        <v>2338.25</v>
      </c>
      <c r="P20" s="85">
        <v>61.78</v>
      </c>
      <c r="Q20" s="83">
        <v>527.22</v>
      </c>
      <c r="R20" s="84">
        <v>414.58</v>
      </c>
      <c r="S20" s="85">
        <v>21.22</v>
      </c>
      <c r="T20" s="83"/>
      <c r="U20" s="84"/>
      <c r="V20" s="85"/>
      <c r="W20" s="83">
        <v>113.82</v>
      </c>
      <c r="X20" s="84">
        <v>1318.18</v>
      </c>
      <c r="Y20" s="85">
        <v>21</v>
      </c>
      <c r="Z20" s="83">
        <v>548.24</v>
      </c>
      <c r="AA20" s="84">
        <v>393.56</v>
      </c>
      <c r="AB20" s="85">
        <v>77</v>
      </c>
      <c r="AC20" s="83">
        <v>92.56</v>
      </c>
      <c r="AD20" s="84">
        <v>3857.85</v>
      </c>
      <c r="AE20" s="85">
        <v>13</v>
      </c>
      <c r="AF20" s="83"/>
      <c r="AG20" s="84"/>
      <c r="AH20" s="85"/>
      <c r="AI20" s="83"/>
      <c r="AJ20" s="84"/>
      <c r="AK20" s="85"/>
      <c r="AL20" s="83">
        <v>2.56</v>
      </c>
      <c r="AM20" s="84">
        <v>0</v>
      </c>
      <c r="AN20" s="85">
        <v>5</v>
      </c>
      <c r="AO20" s="83"/>
      <c r="AP20" s="84"/>
      <c r="AQ20" s="85"/>
      <c r="AR20" s="83"/>
      <c r="AS20" s="84"/>
      <c r="AT20" s="85"/>
      <c r="AU20" s="83">
        <v>216.15</v>
      </c>
      <c r="AV20" s="84">
        <v>3337.45</v>
      </c>
      <c r="AW20" s="85">
        <v>33</v>
      </c>
      <c r="AX20" s="83">
        <f>H20+K20+N20+T20+Q20+W20+Z20+AC20+AF20+AI20+AL20+AO20+AU20+AR20</f>
        <v>3035.6800000000007</v>
      </c>
      <c r="AY20" s="84">
        <f>I20+L20+O20+U20+R20+X20+AA20+AD20+AG20+AJ20+AM20+AP20+AV20+AS20</f>
        <v>11659.869999999999</v>
      </c>
      <c r="AZ20" s="84">
        <f>H20+I20+K20+L20+N20+O20+Q20+R20+T20+U20+W20+X20+Z20+AA20+AC20+AD20+AF20+AG20+AI20+AJ20+AL20+AM20+AO20+AP20+AU20+AV20+AR20+AS20</f>
        <v>14695.55</v>
      </c>
      <c r="BA20" s="84">
        <v>2204.33</v>
      </c>
      <c r="BB20" s="84">
        <v>1469.5550000000001</v>
      </c>
      <c r="BC20" s="86">
        <f>COUNT(H20,K20,N20,Q20,T20,W20,Z20,AC20,AF20,AI20,AL20,AO20,AU20,AR20)</f>
        <v>7</v>
      </c>
      <c r="BD20" s="86">
        <f>J20+M20+P20+V20+S20+Y20+AB20+AE20+AH20+AK20+AN20+AQ20+AW20+AT20</f>
        <v>232</v>
      </c>
      <c r="BE20" s="84">
        <v>18369.439999999999</v>
      </c>
    </row>
    <row r="21" spans="1:57" ht="21.75" customHeight="1" thickBot="1" x14ac:dyDescent="0.25">
      <c r="A21" s="75">
        <v>15</v>
      </c>
      <c r="B21" s="75">
        <v>118805</v>
      </c>
      <c r="C21" s="75" t="s">
        <v>192</v>
      </c>
      <c r="D21" s="75" t="s">
        <v>165</v>
      </c>
      <c r="E21" s="75" t="s">
        <v>190</v>
      </c>
      <c r="F21" s="75" t="s">
        <v>163</v>
      </c>
      <c r="G21" s="76">
        <f t="shared" si="3"/>
        <v>188</v>
      </c>
      <c r="H21" s="77"/>
      <c r="I21" s="78"/>
      <c r="J21" s="79"/>
      <c r="K21" s="77"/>
      <c r="L21" s="78"/>
      <c r="M21" s="79"/>
      <c r="N21" s="77"/>
      <c r="O21" s="78"/>
      <c r="P21" s="79"/>
      <c r="Q21" s="77"/>
      <c r="R21" s="78"/>
      <c r="S21" s="79"/>
      <c r="T21" s="77"/>
      <c r="U21" s="78"/>
      <c r="V21" s="79"/>
      <c r="W21" s="77"/>
      <c r="X21" s="78"/>
      <c r="Y21" s="79"/>
      <c r="Z21" s="77">
        <v>548.24</v>
      </c>
      <c r="AA21" s="78">
        <v>2124.16</v>
      </c>
      <c r="AB21" s="79">
        <v>77</v>
      </c>
      <c r="AC21" s="77"/>
      <c r="AD21" s="78"/>
      <c r="AE21" s="79"/>
      <c r="AF21" s="77">
        <v>1102.23</v>
      </c>
      <c r="AG21" s="78">
        <v>3722.49</v>
      </c>
      <c r="AH21" s="79">
        <v>111</v>
      </c>
      <c r="AI21" s="77"/>
      <c r="AJ21" s="78"/>
      <c r="AK21" s="79"/>
      <c r="AL21" s="77"/>
      <c r="AM21" s="78"/>
      <c r="AN21" s="79"/>
      <c r="AO21" s="77"/>
      <c r="AP21" s="78"/>
      <c r="AQ21" s="79"/>
      <c r="AR21" s="77"/>
      <c r="AS21" s="78"/>
      <c r="AT21" s="79"/>
      <c r="AU21" s="77"/>
      <c r="AV21" s="78"/>
      <c r="AW21" s="79"/>
      <c r="AX21" s="77">
        <f t="shared" si="0"/>
        <v>1650.47</v>
      </c>
      <c r="AY21" s="78">
        <f t="shared" si="0"/>
        <v>5846.65</v>
      </c>
      <c r="AZ21" s="78">
        <f t="shared" si="1"/>
        <v>7497.119999999999</v>
      </c>
      <c r="BA21" s="78">
        <v>1124.57</v>
      </c>
      <c r="BB21" s="78">
        <v>749.71199999999999</v>
      </c>
      <c r="BC21" s="80">
        <f t="shared" si="2"/>
        <v>2</v>
      </c>
      <c r="BD21" s="80">
        <f t="shared" si="4"/>
        <v>188</v>
      </c>
      <c r="BE21" s="78">
        <v>9371.4</v>
      </c>
    </row>
    <row r="22" spans="1:57" ht="21.75" customHeight="1" thickBot="1" x14ac:dyDescent="0.25">
      <c r="A22" s="81">
        <v>16</v>
      </c>
      <c r="B22" s="81">
        <v>118900</v>
      </c>
      <c r="C22" s="81" t="s">
        <v>193</v>
      </c>
      <c r="D22" s="81" t="s">
        <v>194</v>
      </c>
      <c r="E22" s="81" t="s">
        <v>195</v>
      </c>
      <c r="F22" s="81" t="s">
        <v>163</v>
      </c>
      <c r="G22" s="82">
        <f t="shared" si="3"/>
        <v>347.84</v>
      </c>
      <c r="H22" s="83">
        <v>1523.08</v>
      </c>
      <c r="I22" s="84"/>
      <c r="J22" s="85">
        <v>128.13</v>
      </c>
      <c r="K22" s="83"/>
      <c r="L22" s="84"/>
      <c r="M22" s="85"/>
      <c r="N22" s="83">
        <v>1881.44</v>
      </c>
      <c r="O22" s="84">
        <v>6173.56</v>
      </c>
      <c r="P22" s="85">
        <v>75.709999999999994</v>
      </c>
      <c r="Q22" s="83"/>
      <c r="R22" s="84"/>
      <c r="S22" s="85"/>
      <c r="T22" s="83"/>
      <c r="U22" s="84"/>
      <c r="V22" s="85"/>
      <c r="W22" s="83"/>
      <c r="X22" s="84"/>
      <c r="Y22" s="85"/>
      <c r="Z22" s="83">
        <v>332.13</v>
      </c>
      <c r="AA22" s="84"/>
      <c r="AB22" s="85">
        <v>77</v>
      </c>
      <c r="AC22" s="83">
        <v>92.56</v>
      </c>
      <c r="AD22" s="84">
        <v>3649.98</v>
      </c>
      <c r="AE22" s="85">
        <v>13</v>
      </c>
      <c r="AF22" s="83"/>
      <c r="AG22" s="84"/>
      <c r="AH22" s="85"/>
      <c r="AI22" s="83"/>
      <c r="AJ22" s="84"/>
      <c r="AK22" s="85"/>
      <c r="AL22" s="83"/>
      <c r="AM22" s="84"/>
      <c r="AN22" s="85"/>
      <c r="AO22" s="83"/>
      <c r="AP22" s="84"/>
      <c r="AQ22" s="85"/>
      <c r="AR22" s="83">
        <v>536.22</v>
      </c>
      <c r="AS22" s="84">
        <v>4790.76</v>
      </c>
      <c r="AT22" s="85">
        <v>54</v>
      </c>
      <c r="AU22" s="83"/>
      <c r="AV22" s="84"/>
      <c r="AW22" s="85"/>
      <c r="AX22" s="83">
        <f t="shared" si="0"/>
        <v>4365.43</v>
      </c>
      <c r="AY22" s="84">
        <f t="shared" si="0"/>
        <v>14614.300000000001</v>
      </c>
      <c r="AZ22" s="84">
        <f t="shared" si="1"/>
        <v>18979.729999999996</v>
      </c>
      <c r="BA22" s="84">
        <v>2846.96</v>
      </c>
      <c r="BB22" s="84">
        <v>1897.9730000000004</v>
      </c>
      <c r="BC22" s="86">
        <f t="shared" si="2"/>
        <v>5</v>
      </c>
      <c r="BD22" s="86">
        <f t="shared" si="4"/>
        <v>347.84</v>
      </c>
      <c r="BE22" s="84">
        <v>23724.66</v>
      </c>
    </row>
    <row r="23" spans="1:57" ht="21.75" customHeight="1" thickBot="1" x14ac:dyDescent="0.25">
      <c r="A23" s="75">
        <v>17</v>
      </c>
      <c r="B23" s="75">
        <v>119202</v>
      </c>
      <c r="C23" s="75" t="s">
        <v>196</v>
      </c>
      <c r="D23" s="75" t="s">
        <v>165</v>
      </c>
      <c r="E23" s="75" t="s">
        <v>166</v>
      </c>
      <c r="F23" s="75" t="s">
        <v>163</v>
      </c>
      <c r="G23" s="76">
        <f t="shared" si="3"/>
        <v>184.28</v>
      </c>
      <c r="H23" s="77"/>
      <c r="I23" s="78"/>
      <c r="J23" s="79"/>
      <c r="K23" s="77"/>
      <c r="L23" s="78"/>
      <c r="M23" s="79"/>
      <c r="N23" s="77">
        <v>612.5</v>
      </c>
      <c r="O23" s="78">
        <v>3523.54</v>
      </c>
      <c r="P23" s="79">
        <v>24.65</v>
      </c>
      <c r="Q23" s="77">
        <v>885.46</v>
      </c>
      <c r="R23" s="78">
        <v>2576.54</v>
      </c>
      <c r="S23" s="79">
        <v>35.630000000000003</v>
      </c>
      <c r="T23" s="77"/>
      <c r="U23" s="78"/>
      <c r="V23" s="79"/>
      <c r="W23" s="77"/>
      <c r="X23" s="78"/>
      <c r="Y23" s="79"/>
      <c r="Z23" s="77"/>
      <c r="AA23" s="78"/>
      <c r="AB23" s="79"/>
      <c r="AC23" s="77">
        <v>92.56</v>
      </c>
      <c r="AD23" s="78">
        <v>2450.04</v>
      </c>
      <c r="AE23" s="79">
        <v>13</v>
      </c>
      <c r="AF23" s="77">
        <v>1102.23</v>
      </c>
      <c r="AG23" s="78">
        <v>5221.2700000000004</v>
      </c>
      <c r="AH23" s="79">
        <v>111</v>
      </c>
      <c r="AI23" s="77"/>
      <c r="AJ23" s="78"/>
      <c r="AK23" s="79"/>
      <c r="AL23" s="77"/>
      <c r="AM23" s="78"/>
      <c r="AN23" s="79"/>
      <c r="AO23" s="77"/>
      <c r="AP23" s="78"/>
      <c r="AQ23" s="79"/>
      <c r="AR23" s="77"/>
      <c r="AS23" s="78"/>
      <c r="AT23" s="79"/>
      <c r="AU23" s="77"/>
      <c r="AV23" s="78"/>
      <c r="AW23" s="79"/>
      <c r="AX23" s="77">
        <f t="shared" si="0"/>
        <v>2692.75</v>
      </c>
      <c r="AY23" s="78">
        <f t="shared" si="0"/>
        <v>13771.39</v>
      </c>
      <c r="AZ23" s="78">
        <f t="shared" si="1"/>
        <v>16464.14</v>
      </c>
      <c r="BA23" s="78">
        <v>2469.62</v>
      </c>
      <c r="BB23" s="78">
        <v>1646.414</v>
      </c>
      <c r="BC23" s="80">
        <f t="shared" si="2"/>
        <v>4</v>
      </c>
      <c r="BD23" s="80">
        <f t="shared" si="4"/>
        <v>184.28</v>
      </c>
      <c r="BE23" s="78">
        <v>20580.169999999998</v>
      </c>
    </row>
    <row r="24" spans="1:57" ht="21.75" customHeight="1" thickBot="1" x14ac:dyDescent="0.25">
      <c r="A24" s="81">
        <v>18</v>
      </c>
      <c r="B24" s="81">
        <v>119453</v>
      </c>
      <c r="C24" s="81" t="s">
        <v>197</v>
      </c>
      <c r="D24" s="81" t="s">
        <v>174</v>
      </c>
      <c r="E24" s="81" t="s">
        <v>175</v>
      </c>
      <c r="F24" s="81" t="s">
        <v>163</v>
      </c>
      <c r="G24" s="82">
        <f t="shared" si="3"/>
        <v>142.07999999999998</v>
      </c>
      <c r="H24" s="83">
        <v>2016.23</v>
      </c>
      <c r="I24" s="84">
        <v>18735.580000000002</v>
      </c>
      <c r="J24" s="85">
        <v>81.14</v>
      </c>
      <c r="K24" s="83">
        <v>1191.4100000000001</v>
      </c>
      <c r="L24" s="84">
        <v>1529.55</v>
      </c>
      <c r="M24" s="85">
        <v>47.94</v>
      </c>
      <c r="N24" s="83"/>
      <c r="O24" s="84"/>
      <c r="P24" s="85"/>
      <c r="Q24" s="83"/>
      <c r="R24" s="84"/>
      <c r="S24" s="85"/>
      <c r="T24" s="83"/>
      <c r="U24" s="84"/>
      <c r="V24" s="85"/>
      <c r="W24" s="83"/>
      <c r="X24" s="84"/>
      <c r="Y24" s="85"/>
      <c r="Z24" s="83"/>
      <c r="AA24" s="84"/>
      <c r="AB24" s="85"/>
      <c r="AC24" s="83">
        <v>92.56</v>
      </c>
      <c r="AD24" s="84">
        <v>4909.75</v>
      </c>
      <c r="AE24" s="85">
        <v>13</v>
      </c>
      <c r="AF24" s="83"/>
      <c r="AG24" s="84"/>
      <c r="AH24" s="85"/>
      <c r="AI24" s="83"/>
      <c r="AJ24" s="84"/>
      <c r="AK24" s="85"/>
      <c r="AL24" s="83"/>
      <c r="AM24" s="84"/>
      <c r="AN24" s="85"/>
      <c r="AO24" s="83"/>
      <c r="AP24" s="84"/>
      <c r="AQ24" s="85"/>
      <c r="AR24" s="83"/>
      <c r="AS24" s="84"/>
      <c r="AT24" s="85"/>
      <c r="AU24" s="83"/>
      <c r="AV24" s="84"/>
      <c r="AW24" s="85"/>
      <c r="AX24" s="83">
        <f t="shared" si="0"/>
        <v>3300.2000000000003</v>
      </c>
      <c r="AY24" s="84">
        <f t="shared" si="0"/>
        <v>25174.880000000001</v>
      </c>
      <c r="AZ24" s="84">
        <f t="shared" si="1"/>
        <v>28475.08</v>
      </c>
      <c r="BA24" s="84">
        <v>4271.26</v>
      </c>
      <c r="BB24" s="84">
        <v>2847.5080000000003</v>
      </c>
      <c r="BC24" s="86">
        <f t="shared" si="2"/>
        <v>3</v>
      </c>
      <c r="BD24" s="86">
        <f t="shared" si="4"/>
        <v>142.07999999999998</v>
      </c>
      <c r="BE24" s="84">
        <v>35593.85</v>
      </c>
    </row>
    <row r="25" spans="1:57" ht="21.75" customHeight="1" thickBot="1" x14ac:dyDescent="0.25">
      <c r="A25" s="75">
        <v>19</v>
      </c>
      <c r="B25" s="75">
        <v>119699</v>
      </c>
      <c r="C25" s="75" t="s">
        <v>198</v>
      </c>
      <c r="D25" s="75" t="s">
        <v>174</v>
      </c>
      <c r="E25" s="75" t="s">
        <v>199</v>
      </c>
      <c r="F25" s="75" t="s">
        <v>163</v>
      </c>
      <c r="G25" s="76">
        <f t="shared" si="3"/>
        <v>237.4</v>
      </c>
      <c r="H25" s="77"/>
      <c r="I25" s="78"/>
      <c r="J25" s="79"/>
      <c r="K25" s="77"/>
      <c r="L25" s="78"/>
      <c r="M25" s="79"/>
      <c r="N25" s="77">
        <v>904.54</v>
      </c>
      <c r="O25" s="78">
        <v>3394.25</v>
      </c>
      <c r="P25" s="79">
        <v>36.4</v>
      </c>
      <c r="Q25" s="77"/>
      <c r="R25" s="78"/>
      <c r="S25" s="79"/>
      <c r="T25" s="77"/>
      <c r="U25" s="78"/>
      <c r="V25" s="79"/>
      <c r="W25" s="77"/>
      <c r="X25" s="78"/>
      <c r="Y25" s="79"/>
      <c r="Z25" s="77">
        <v>548.24</v>
      </c>
      <c r="AA25" s="78">
        <v>44.17</v>
      </c>
      <c r="AB25" s="79">
        <v>77</v>
      </c>
      <c r="AC25" s="77">
        <v>92.56</v>
      </c>
      <c r="AD25" s="78">
        <v>3012.42</v>
      </c>
      <c r="AE25" s="79">
        <v>13</v>
      </c>
      <c r="AF25" s="77">
        <v>1102.23</v>
      </c>
      <c r="AG25" s="78">
        <v>5386.07</v>
      </c>
      <c r="AH25" s="79">
        <v>111</v>
      </c>
      <c r="AI25" s="77"/>
      <c r="AJ25" s="78"/>
      <c r="AK25" s="79"/>
      <c r="AL25" s="77"/>
      <c r="AM25" s="78"/>
      <c r="AN25" s="79"/>
      <c r="AO25" s="77"/>
      <c r="AP25" s="78"/>
      <c r="AQ25" s="79"/>
      <c r="AR25" s="77"/>
      <c r="AS25" s="78"/>
      <c r="AT25" s="79"/>
      <c r="AU25" s="77"/>
      <c r="AV25" s="78"/>
      <c r="AW25" s="79"/>
      <c r="AX25" s="77">
        <f t="shared" si="0"/>
        <v>2647.5699999999997</v>
      </c>
      <c r="AY25" s="78">
        <f t="shared" si="0"/>
        <v>11836.91</v>
      </c>
      <c r="AZ25" s="78">
        <f t="shared" si="1"/>
        <v>14484.48</v>
      </c>
      <c r="BA25" s="78">
        <v>2172.67</v>
      </c>
      <c r="BB25" s="78">
        <v>1448.4480000000001</v>
      </c>
      <c r="BC25" s="80">
        <f t="shared" si="2"/>
        <v>4</v>
      </c>
      <c r="BD25" s="80">
        <f t="shared" si="4"/>
        <v>237.4</v>
      </c>
      <c r="BE25" s="78">
        <v>18105.599999999999</v>
      </c>
    </row>
    <row r="26" spans="1:57" ht="21.75" customHeight="1" thickBot="1" x14ac:dyDescent="0.25">
      <c r="A26" s="81">
        <v>20</v>
      </c>
      <c r="B26" s="81">
        <v>119821</v>
      </c>
      <c r="C26" s="81" t="s">
        <v>200</v>
      </c>
      <c r="D26" s="81" t="s">
        <v>174</v>
      </c>
      <c r="E26" s="81" t="s">
        <v>175</v>
      </c>
      <c r="F26" s="81" t="s">
        <v>163</v>
      </c>
      <c r="G26" s="82">
        <f t="shared" si="3"/>
        <v>427.20000000000005</v>
      </c>
      <c r="H26" s="83">
        <v>2842.84</v>
      </c>
      <c r="I26" s="84">
        <v>4981.22</v>
      </c>
      <c r="J26" s="85">
        <v>114.4</v>
      </c>
      <c r="K26" s="83">
        <v>2705.02</v>
      </c>
      <c r="L26" s="84">
        <v>5650.24</v>
      </c>
      <c r="M26" s="85">
        <v>108.85</v>
      </c>
      <c r="N26" s="83">
        <v>1209.5</v>
      </c>
      <c r="O26" s="84">
        <v>3011.24</v>
      </c>
      <c r="P26" s="85">
        <v>48.67</v>
      </c>
      <c r="Q26" s="83">
        <v>1622.21</v>
      </c>
      <c r="R26" s="84">
        <v>4405.8100000000004</v>
      </c>
      <c r="S26" s="85">
        <v>65.28</v>
      </c>
      <c r="T26" s="83"/>
      <c r="U26" s="84"/>
      <c r="V26" s="85"/>
      <c r="W26" s="83"/>
      <c r="X26" s="84"/>
      <c r="Y26" s="85"/>
      <c r="Z26" s="83">
        <v>548.24</v>
      </c>
      <c r="AA26" s="84">
        <v>553.98</v>
      </c>
      <c r="AB26" s="85">
        <v>77</v>
      </c>
      <c r="AC26" s="83">
        <v>92.56</v>
      </c>
      <c r="AD26" s="84">
        <v>2560.48</v>
      </c>
      <c r="AE26" s="85">
        <v>13</v>
      </c>
      <c r="AF26" s="83"/>
      <c r="AG26" s="84"/>
      <c r="AH26" s="85"/>
      <c r="AI26" s="83"/>
      <c r="AJ26" s="84"/>
      <c r="AK26" s="85"/>
      <c r="AL26" s="83"/>
      <c r="AM26" s="84"/>
      <c r="AN26" s="85"/>
      <c r="AO26" s="83"/>
      <c r="AP26" s="84"/>
      <c r="AQ26" s="85"/>
      <c r="AR26" s="83"/>
      <c r="AS26" s="84"/>
      <c r="AT26" s="85"/>
      <c r="AU26" s="83"/>
      <c r="AV26" s="84"/>
      <c r="AW26" s="85"/>
      <c r="AX26" s="83">
        <f t="shared" si="0"/>
        <v>9020.369999999999</v>
      </c>
      <c r="AY26" s="84">
        <f t="shared" si="0"/>
        <v>21162.969999999998</v>
      </c>
      <c r="AZ26" s="84">
        <f t="shared" si="1"/>
        <v>30183.34</v>
      </c>
      <c r="BA26" s="84">
        <v>4527.5</v>
      </c>
      <c r="BB26" s="84">
        <v>3018.3339999999998</v>
      </c>
      <c r="BC26" s="86">
        <f t="shared" si="2"/>
        <v>6</v>
      </c>
      <c r="BD26" s="86">
        <f t="shared" si="4"/>
        <v>427.20000000000005</v>
      </c>
      <c r="BE26" s="84">
        <v>37729.18</v>
      </c>
    </row>
    <row r="27" spans="1:57" ht="21.75" customHeight="1" thickBot="1" x14ac:dyDescent="0.25">
      <c r="A27" s="75">
        <v>21</v>
      </c>
      <c r="B27" s="75">
        <v>119822</v>
      </c>
      <c r="C27" s="75" t="s">
        <v>201</v>
      </c>
      <c r="D27" s="75" t="s">
        <v>202</v>
      </c>
      <c r="E27" s="75" t="s">
        <v>203</v>
      </c>
      <c r="F27" s="75" t="s">
        <v>163</v>
      </c>
      <c r="G27" s="76">
        <f t="shared" si="3"/>
        <v>224.45999999999998</v>
      </c>
      <c r="H27" s="77">
        <v>1327.39</v>
      </c>
      <c r="I27" s="78">
        <v>913.83</v>
      </c>
      <c r="J27" s="79">
        <v>53.41</v>
      </c>
      <c r="K27" s="77">
        <v>193.08</v>
      </c>
      <c r="L27" s="78">
        <v>829.85</v>
      </c>
      <c r="M27" s="79">
        <v>7.77</v>
      </c>
      <c r="N27" s="77">
        <v>1205.6199999999999</v>
      </c>
      <c r="O27" s="78">
        <v>3637.44</v>
      </c>
      <c r="P27" s="79">
        <v>48.52</v>
      </c>
      <c r="Q27" s="77">
        <v>456.25</v>
      </c>
      <c r="R27" s="78">
        <v>1766.62</v>
      </c>
      <c r="S27" s="79">
        <v>18.36</v>
      </c>
      <c r="T27" s="77">
        <v>63.55</v>
      </c>
      <c r="U27" s="78">
        <v>195.13</v>
      </c>
      <c r="V27" s="79">
        <v>6.4</v>
      </c>
      <c r="W27" s="77"/>
      <c r="X27" s="78"/>
      <c r="Y27" s="79"/>
      <c r="Z27" s="77">
        <v>461.78</v>
      </c>
      <c r="AA27" s="78"/>
      <c r="AB27" s="79">
        <v>77</v>
      </c>
      <c r="AC27" s="77">
        <v>92.56</v>
      </c>
      <c r="AD27" s="78">
        <v>6807.7</v>
      </c>
      <c r="AE27" s="79">
        <v>13</v>
      </c>
      <c r="AF27" s="77"/>
      <c r="AG27" s="78"/>
      <c r="AH27" s="79"/>
      <c r="AI27" s="77"/>
      <c r="AJ27" s="78"/>
      <c r="AK27" s="79"/>
      <c r="AL27" s="77"/>
      <c r="AM27" s="78"/>
      <c r="AN27" s="79"/>
      <c r="AO27" s="77"/>
      <c r="AP27" s="78"/>
      <c r="AQ27" s="79"/>
      <c r="AR27" s="77"/>
      <c r="AS27" s="78"/>
      <c r="AT27" s="79"/>
      <c r="AU27" s="77"/>
      <c r="AV27" s="78"/>
      <c r="AW27" s="79"/>
      <c r="AX27" s="77">
        <f t="shared" si="0"/>
        <v>3800.23</v>
      </c>
      <c r="AY27" s="78">
        <f t="shared" si="0"/>
        <v>14150.57</v>
      </c>
      <c r="AZ27" s="78">
        <f t="shared" si="1"/>
        <v>17950.8</v>
      </c>
      <c r="BA27" s="78">
        <v>2692.62</v>
      </c>
      <c r="BB27" s="78">
        <v>1795.08</v>
      </c>
      <c r="BC27" s="80">
        <f t="shared" si="2"/>
        <v>7</v>
      </c>
      <c r="BD27" s="80">
        <f t="shared" si="4"/>
        <v>224.45999999999998</v>
      </c>
      <c r="BE27" s="78">
        <v>22438.5</v>
      </c>
    </row>
    <row r="28" spans="1:57" ht="21.75" customHeight="1" thickBot="1" x14ac:dyDescent="0.25">
      <c r="A28" s="81">
        <v>22</v>
      </c>
      <c r="B28" s="81">
        <v>120105</v>
      </c>
      <c r="C28" s="81" t="s">
        <v>204</v>
      </c>
      <c r="D28" s="81" t="s">
        <v>165</v>
      </c>
      <c r="E28" s="81" t="s">
        <v>190</v>
      </c>
      <c r="F28" s="81" t="s">
        <v>163</v>
      </c>
      <c r="G28" s="82">
        <f t="shared" si="3"/>
        <v>111</v>
      </c>
      <c r="H28" s="83"/>
      <c r="I28" s="84"/>
      <c r="J28" s="85"/>
      <c r="K28" s="83"/>
      <c r="L28" s="84"/>
      <c r="M28" s="85"/>
      <c r="N28" s="83"/>
      <c r="O28" s="84"/>
      <c r="P28" s="85"/>
      <c r="Q28" s="83"/>
      <c r="R28" s="84"/>
      <c r="S28" s="85"/>
      <c r="T28" s="83"/>
      <c r="U28" s="84"/>
      <c r="V28" s="85"/>
      <c r="W28" s="83"/>
      <c r="X28" s="84"/>
      <c r="Y28" s="85"/>
      <c r="Z28" s="83"/>
      <c r="AA28" s="84"/>
      <c r="AB28" s="85"/>
      <c r="AC28" s="83"/>
      <c r="AD28" s="84"/>
      <c r="AE28" s="85"/>
      <c r="AF28" s="83">
        <v>1102.23</v>
      </c>
      <c r="AG28" s="84">
        <v>4057.27</v>
      </c>
      <c r="AH28" s="85">
        <v>111</v>
      </c>
      <c r="AI28" s="83"/>
      <c r="AJ28" s="84"/>
      <c r="AK28" s="85"/>
      <c r="AL28" s="83"/>
      <c r="AM28" s="84"/>
      <c r="AN28" s="85"/>
      <c r="AO28" s="83"/>
      <c r="AP28" s="84"/>
      <c r="AQ28" s="85"/>
      <c r="AR28" s="83"/>
      <c r="AS28" s="84"/>
      <c r="AT28" s="85"/>
      <c r="AU28" s="83"/>
      <c r="AV28" s="84"/>
      <c r="AW28" s="85"/>
      <c r="AX28" s="83">
        <f t="shared" si="0"/>
        <v>1102.23</v>
      </c>
      <c r="AY28" s="84">
        <f t="shared" si="0"/>
        <v>4057.27</v>
      </c>
      <c r="AZ28" s="84">
        <f t="shared" si="1"/>
        <v>5159.5</v>
      </c>
      <c r="BA28" s="84">
        <v>773.93</v>
      </c>
      <c r="BB28" s="84">
        <v>515.95000000000005</v>
      </c>
      <c r="BC28" s="86">
        <f t="shared" si="2"/>
        <v>1</v>
      </c>
      <c r="BD28" s="86">
        <f t="shared" si="4"/>
        <v>111</v>
      </c>
      <c r="BE28" s="84">
        <v>6449.38</v>
      </c>
    </row>
    <row r="29" spans="1:57" ht="21.75" customHeight="1" thickBot="1" x14ac:dyDescent="0.25">
      <c r="A29" s="75">
        <v>23</v>
      </c>
      <c r="B29" s="75">
        <v>120255</v>
      </c>
      <c r="C29" s="75" t="s">
        <v>205</v>
      </c>
      <c r="D29" s="75" t="s">
        <v>202</v>
      </c>
      <c r="E29" s="75" t="s">
        <v>206</v>
      </c>
      <c r="F29" s="75" t="s">
        <v>163</v>
      </c>
      <c r="G29" s="76">
        <f t="shared" si="3"/>
        <v>216.31</v>
      </c>
      <c r="H29" s="77">
        <v>1871.9</v>
      </c>
      <c r="I29" s="78">
        <v>1137.73</v>
      </c>
      <c r="J29" s="79">
        <v>75.33</v>
      </c>
      <c r="K29" s="77">
        <v>1.84</v>
      </c>
      <c r="L29" s="78">
        <v>195.08</v>
      </c>
      <c r="M29" s="79">
        <v>7.0000000000000007E-2</v>
      </c>
      <c r="N29" s="77">
        <v>1106.1199999999999</v>
      </c>
      <c r="O29" s="78">
        <v>3476.18</v>
      </c>
      <c r="P29" s="79">
        <v>44.51</v>
      </c>
      <c r="Q29" s="77"/>
      <c r="R29" s="78"/>
      <c r="S29" s="79"/>
      <c r="T29" s="77">
        <v>63.55</v>
      </c>
      <c r="U29" s="78">
        <v>385.88</v>
      </c>
      <c r="V29" s="79">
        <v>6.4</v>
      </c>
      <c r="W29" s="77"/>
      <c r="X29" s="78"/>
      <c r="Y29" s="79"/>
      <c r="Z29" s="77">
        <v>548.24</v>
      </c>
      <c r="AA29" s="78">
        <v>23.28</v>
      </c>
      <c r="AB29" s="79">
        <v>77</v>
      </c>
      <c r="AC29" s="77">
        <v>92.56</v>
      </c>
      <c r="AD29" s="78">
        <v>5568.86</v>
      </c>
      <c r="AE29" s="79">
        <v>13</v>
      </c>
      <c r="AF29" s="77"/>
      <c r="AG29" s="78"/>
      <c r="AH29" s="79"/>
      <c r="AI29" s="77"/>
      <c r="AJ29" s="78"/>
      <c r="AK29" s="79"/>
      <c r="AL29" s="77"/>
      <c r="AM29" s="78"/>
      <c r="AN29" s="79"/>
      <c r="AO29" s="77"/>
      <c r="AP29" s="78"/>
      <c r="AQ29" s="79"/>
      <c r="AR29" s="77"/>
      <c r="AS29" s="78"/>
      <c r="AT29" s="79"/>
      <c r="AU29" s="77"/>
      <c r="AV29" s="78"/>
      <c r="AW29" s="79"/>
      <c r="AX29" s="77">
        <f t="shared" si="0"/>
        <v>3684.2099999999996</v>
      </c>
      <c r="AY29" s="78">
        <f t="shared" si="0"/>
        <v>10787.009999999998</v>
      </c>
      <c r="AZ29" s="78">
        <f t="shared" si="1"/>
        <v>14471.220000000001</v>
      </c>
      <c r="BA29" s="78">
        <v>2170.6799999999998</v>
      </c>
      <c r="BB29" s="78">
        <v>1447.1219999999998</v>
      </c>
      <c r="BC29" s="80">
        <f t="shared" si="2"/>
        <v>6</v>
      </c>
      <c r="BD29" s="80">
        <f t="shared" si="4"/>
        <v>216.31</v>
      </c>
      <c r="BE29" s="78">
        <v>18089.03</v>
      </c>
    </row>
    <row r="30" spans="1:57" ht="21.75" customHeight="1" thickBot="1" x14ac:dyDescent="0.25">
      <c r="A30" s="81">
        <v>24</v>
      </c>
      <c r="B30" s="81">
        <v>120502</v>
      </c>
      <c r="C30" s="81" t="s">
        <v>207</v>
      </c>
      <c r="D30" s="81" t="s">
        <v>208</v>
      </c>
      <c r="E30" s="81" t="s">
        <v>209</v>
      </c>
      <c r="F30" s="81" t="s">
        <v>163</v>
      </c>
      <c r="G30" s="82">
        <f t="shared" si="3"/>
        <v>322.01</v>
      </c>
      <c r="H30" s="83">
        <v>3070.27</v>
      </c>
      <c r="I30" s="84">
        <v>1078.25</v>
      </c>
      <c r="J30" s="85">
        <v>123.55</v>
      </c>
      <c r="K30" s="83"/>
      <c r="L30" s="84"/>
      <c r="M30" s="85"/>
      <c r="N30" s="83">
        <v>1411.08</v>
      </c>
      <c r="O30" s="84">
        <v>2607.12</v>
      </c>
      <c r="P30" s="85">
        <v>56.78</v>
      </c>
      <c r="Q30" s="83">
        <v>439.35</v>
      </c>
      <c r="R30" s="84">
        <v>2167.0500000000002</v>
      </c>
      <c r="S30" s="85">
        <v>17.68</v>
      </c>
      <c r="T30" s="83"/>
      <c r="U30" s="84"/>
      <c r="V30" s="85"/>
      <c r="W30" s="83"/>
      <c r="X30" s="84"/>
      <c r="Y30" s="85"/>
      <c r="Z30" s="83"/>
      <c r="AA30" s="84"/>
      <c r="AB30" s="85"/>
      <c r="AC30" s="83">
        <v>92.56</v>
      </c>
      <c r="AD30" s="84">
        <v>1493</v>
      </c>
      <c r="AE30" s="85">
        <v>13</v>
      </c>
      <c r="AF30" s="83">
        <v>1102.23</v>
      </c>
      <c r="AG30" s="84">
        <v>3594.72</v>
      </c>
      <c r="AH30" s="85">
        <v>111</v>
      </c>
      <c r="AI30" s="83"/>
      <c r="AJ30" s="84"/>
      <c r="AK30" s="85"/>
      <c r="AL30" s="83"/>
      <c r="AM30" s="84"/>
      <c r="AN30" s="85"/>
      <c r="AO30" s="83"/>
      <c r="AP30" s="84"/>
      <c r="AQ30" s="85"/>
      <c r="AR30" s="83"/>
      <c r="AS30" s="84"/>
      <c r="AT30" s="85"/>
      <c r="AU30" s="83"/>
      <c r="AV30" s="84"/>
      <c r="AW30" s="85"/>
      <c r="AX30" s="83">
        <f t="shared" si="0"/>
        <v>6115.4900000000016</v>
      </c>
      <c r="AY30" s="84">
        <f t="shared" si="0"/>
        <v>10940.14</v>
      </c>
      <c r="AZ30" s="84">
        <f t="shared" si="1"/>
        <v>17055.629999999997</v>
      </c>
      <c r="BA30" s="84">
        <v>2558.34</v>
      </c>
      <c r="BB30" s="84">
        <v>1705.5630000000001</v>
      </c>
      <c r="BC30" s="86">
        <f t="shared" si="2"/>
        <v>5</v>
      </c>
      <c r="BD30" s="86">
        <f t="shared" si="4"/>
        <v>322.01</v>
      </c>
      <c r="BE30" s="84">
        <v>21319.54</v>
      </c>
    </row>
    <row r="31" spans="1:57" ht="21.75" customHeight="1" thickBot="1" x14ac:dyDescent="0.25">
      <c r="A31" s="75">
        <v>25</v>
      </c>
      <c r="B31" s="75">
        <v>120647</v>
      </c>
      <c r="C31" s="75" t="s">
        <v>210</v>
      </c>
      <c r="D31" s="75" t="s">
        <v>165</v>
      </c>
      <c r="E31" s="75" t="s">
        <v>166</v>
      </c>
      <c r="F31" s="75" t="s">
        <v>163</v>
      </c>
      <c r="G31" s="76">
        <f t="shared" si="3"/>
        <v>432.93</v>
      </c>
      <c r="H31" s="77"/>
      <c r="I31" s="78"/>
      <c r="J31" s="79"/>
      <c r="K31" s="77">
        <v>110.33</v>
      </c>
      <c r="L31" s="78">
        <v>90.67</v>
      </c>
      <c r="M31" s="79">
        <v>4.4400000000000004</v>
      </c>
      <c r="N31" s="77">
        <v>1421.42</v>
      </c>
      <c r="O31" s="78">
        <v>2442.1799999999998</v>
      </c>
      <c r="P31" s="79">
        <v>57.2</v>
      </c>
      <c r="Q31" s="77">
        <v>2188.65</v>
      </c>
      <c r="R31" s="78"/>
      <c r="S31" s="79">
        <v>109.89</v>
      </c>
      <c r="T31" s="77">
        <v>63.55</v>
      </c>
      <c r="U31" s="78">
        <v>14.6</v>
      </c>
      <c r="V31" s="79">
        <v>6.4</v>
      </c>
      <c r="W31" s="77"/>
      <c r="X31" s="78"/>
      <c r="Y31" s="79"/>
      <c r="Z31" s="77">
        <v>548.24</v>
      </c>
      <c r="AA31" s="78">
        <v>1640.4</v>
      </c>
      <c r="AB31" s="79">
        <v>77</v>
      </c>
      <c r="AC31" s="77">
        <v>92.56</v>
      </c>
      <c r="AD31" s="78">
        <v>2603.0500000000002</v>
      </c>
      <c r="AE31" s="79">
        <v>13</v>
      </c>
      <c r="AF31" s="77">
        <v>1102.23</v>
      </c>
      <c r="AG31" s="78">
        <v>3345.43</v>
      </c>
      <c r="AH31" s="79">
        <v>111</v>
      </c>
      <c r="AI31" s="77"/>
      <c r="AJ31" s="78"/>
      <c r="AK31" s="79"/>
      <c r="AL31" s="77"/>
      <c r="AM31" s="78"/>
      <c r="AN31" s="79"/>
      <c r="AO31" s="77"/>
      <c r="AP31" s="78"/>
      <c r="AQ31" s="79"/>
      <c r="AR31" s="77">
        <v>536.22</v>
      </c>
      <c r="AS31" s="78">
        <v>4745.4399999999996</v>
      </c>
      <c r="AT31" s="79">
        <v>54</v>
      </c>
      <c r="AU31" s="77"/>
      <c r="AV31" s="78"/>
      <c r="AW31" s="79"/>
      <c r="AX31" s="77">
        <f t="shared" si="0"/>
        <v>6063.2</v>
      </c>
      <c r="AY31" s="78">
        <f t="shared" si="0"/>
        <v>14881.77</v>
      </c>
      <c r="AZ31" s="78">
        <f t="shared" si="1"/>
        <v>20944.97</v>
      </c>
      <c r="BA31" s="78">
        <v>3141.75</v>
      </c>
      <c r="BB31" s="78">
        <v>2094.4970000000003</v>
      </c>
      <c r="BC31" s="80">
        <f t="shared" si="2"/>
        <v>8</v>
      </c>
      <c r="BD31" s="80">
        <f t="shared" si="4"/>
        <v>432.93</v>
      </c>
      <c r="BE31" s="78">
        <v>26181.23</v>
      </c>
    </row>
    <row r="32" spans="1:57" ht="21.75" customHeight="1" thickBot="1" x14ac:dyDescent="0.25">
      <c r="A32" s="81">
        <v>26</v>
      </c>
      <c r="B32" s="81">
        <v>120779</v>
      </c>
      <c r="C32" s="81" t="s">
        <v>211</v>
      </c>
      <c r="D32" s="81" t="s">
        <v>174</v>
      </c>
      <c r="E32" s="81" t="s">
        <v>212</v>
      </c>
      <c r="F32" s="81" t="s">
        <v>163</v>
      </c>
      <c r="G32" s="82">
        <f t="shared" si="3"/>
        <v>287.84000000000003</v>
      </c>
      <c r="H32" s="83"/>
      <c r="I32" s="84"/>
      <c r="J32" s="85"/>
      <c r="K32" s="83">
        <v>53.26</v>
      </c>
      <c r="L32" s="84"/>
      <c r="M32" s="85">
        <v>3.7</v>
      </c>
      <c r="N32" s="83">
        <v>1643.68</v>
      </c>
      <c r="O32" s="84">
        <v>1852.46</v>
      </c>
      <c r="P32" s="85">
        <v>66.14</v>
      </c>
      <c r="Q32" s="83">
        <v>422.45</v>
      </c>
      <c r="R32" s="84">
        <v>612.91999999999996</v>
      </c>
      <c r="S32" s="85">
        <v>17</v>
      </c>
      <c r="T32" s="83"/>
      <c r="U32" s="84"/>
      <c r="V32" s="85"/>
      <c r="W32" s="83"/>
      <c r="X32" s="84"/>
      <c r="Y32" s="85"/>
      <c r="Z32" s="83">
        <v>548.24</v>
      </c>
      <c r="AA32" s="84">
        <v>769.38</v>
      </c>
      <c r="AB32" s="85">
        <v>77</v>
      </c>
      <c r="AC32" s="83">
        <v>92.56</v>
      </c>
      <c r="AD32" s="84">
        <v>2758.84</v>
      </c>
      <c r="AE32" s="85">
        <v>13</v>
      </c>
      <c r="AF32" s="83">
        <v>1102.23</v>
      </c>
      <c r="AG32" s="84">
        <v>4170.59</v>
      </c>
      <c r="AH32" s="85">
        <v>111</v>
      </c>
      <c r="AI32" s="83"/>
      <c r="AJ32" s="84"/>
      <c r="AK32" s="85"/>
      <c r="AL32" s="83"/>
      <c r="AM32" s="84"/>
      <c r="AN32" s="85"/>
      <c r="AO32" s="83"/>
      <c r="AP32" s="84"/>
      <c r="AQ32" s="85"/>
      <c r="AR32" s="83"/>
      <c r="AS32" s="84"/>
      <c r="AT32" s="85"/>
      <c r="AU32" s="83"/>
      <c r="AV32" s="84"/>
      <c r="AW32" s="85"/>
      <c r="AX32" s="83">
        <f t="shared" si="0"/>
        <v>3862.42</v>
      </c>
      <c r="AY32" s="84">
        <f t="shared" si="0"/>
        <v>10164.19</v>
      </c>
      <c r="AZ32" s="84">
        <f t="shared" si="1"/>
        <v>14026.61</v>
      </c>
      <c r="BA32" s="84">
        <v>2103.9899999999998</v>
      </c>
      <c r="BB32" s="84">
        <v>1402.6610000000001</v>
      </c>
      <c r="BC32" s="86">
        <f t="shared" si="2"/>
        <v>6</v>
      </c>
      <c r="BD32" s="86">
        <f t="shared" si="4"/>
        <v>287.84000000000003</v>
      </c>
      <c r="BE32" s="84">
        <v>17533.259999999998</v>
      </c>
    </row>
    <row r="33" spans="1:57" ht="21.75" customHeight="1" thickBot="1" x14ac:dyDescent="0.25">
      <c r="A33" s="75">
        <v>27</v>
      </c>
      <c r="B33" s="75">
        <v>121198</v>
      </c>
      <c r="C33" s="75" t="s">
        <v>213</v>
      </c>
      <c r="D33" s="75" t="s">
        <v>214</v>
      </c>
      <c r="E33" s="75" t="s">
        <v>215</v>
      </c>
      <c r="F33" s="75" t="s">
        <v>170</v>
      </c>
      <c r="G33" s="76">
        <f t="shared" si="3"/>
        <v>108.34</v>
      </c>
      <c r="H33" s="77"/>
      <c r="I33" s="78"/>
      <c r="J33" s="79"/>
      <c r="K33" s="77"/>
      <c r="L33" s="78"/>
      <c r="M33" s="79"/>
      <c r="N33" s="77">
        <v>2692.15</v>
      </c>
      <c r="O33" s="78">
        <v>307.85000000000002</v>
      </c>
      <c r="P33" s="79">
        <v>108.34</v>
      </c>
      <c r="Q33" s="77"/>
      <c r="R33" s="78"/>
      <c r="S33" s="79"/>
      <c r="T33" s="77"/>
      <c r="U33" s="78"/>
      <c r="V33" s="79"/>
      <c r="W33" s="77"/>
      <c r="X33" s="78"/>
      <c r="Y33" s="79"/>
      <c r="Z33" s="77"/>
      <c r="AA33" s="78"/>
      <c r="AB33" s="79"/>
      <c r="AC33" s="77"/>
      <c r="AD33" s="78"/>
      <c r="AE33" s="79"/>
      <c r="AF33" s="77"/>
      <c r="AG33" s="78"/>
      <c r="AH33" s="79"/>
      <c r="AI33" s="77"/>
      <c r="AJ33" s="78"/>
      <c r="AK33" s="79"/>
      <c r="AL33" s="77"/>
      <c r="AM33" s="78"/>
      <c r="AN33" s="79"/>
      <c r="AO33" s="77"/>
      <c r="AP33" s="78"/>
      <c r="AQ33" s="79"/>
      <c r="AR33" s="77"/>
      <c r="AS33" s="78"/>
      <c r="AT33" s="79"/>
      <c r="AU33" s="77"/>
      <c r="AV33" s="78"/>
      <c r="AW33" s="79"/>
      <c r="AX33" s="77">
        <f t="shared" si="0"/>
        <v>2692.15</v>
      </c>
      <c r="AY33" s="78">
        <f t="shared" si="0"/>
        <v>307.85000000000002</v>
      </c>
      <c r="AZ33" s="78">
        <f t="shared" si="1"/>
        <v>3000</v>
      </c>
      <c r="BA33" s="78">
        <v>450</v>
      </c>
      <c r="BB33" s="78">
        <v>300</v>
      </c>
      <c r="BC33" s="80">
        <f t="shared" si="2"/>
        <v>1</v>
      </c>
      <c r="BD33" s="80">
        <f t="shared" si="4"/>
        <v>108.34</v>
      </c>
      <c r="BE33" s="78">
        <v>3750</v>
      </c>
    </row>
    <row r="34" spans="1:57" ht="21.75" customHeight="1" thickBot="1" x14ac:dyDescent="0.25">
      <c r="A34" s="81">
        <v>28</v>
      </c>
      <c r="B34" s="81">
        <v>121199</v>
      </c>
      <c r="C34" s="81" t="s">
        <v>216</v>
      </c>
      <c r="D34" s="81" t="s">
        <v>214</v>
      </c>
      <c r="E34" s="81" t="s">
        <v>215</v>
      </c>
      <c r="F34" s="81" t="s">
        <v>170</v>
      </c>
      <c r="G34" s="82">
        <f t="shared" si="3"/>
        <v>80.510000000000005</v>
      </c>
      <c r="H34" s="83"/>
      <c r="I34" s="84"/>
      <c r="J34" s="85"/>
      <c r="K34" s="83"/>
      <c r="L34" s="84"/>
      <c r="M34" s="85"/>
      <c r="N34" s="83">
        <v>2000.72</v>
      </c>
      <c r="O34" s="84">
        <v>1190.28</v>
      </c>
      <c r="P34" s="85">
        <v>80.510000000000005</v>
      </c>
      <c r="Q34" s="83"/>
      <c r="R34" s="84"/>
      <c r="S34" s="85"/>
      <c r="T34" s="83"/>
      <c r="U34" s="84"/>
      <c r="V34" s="85"/>
      <c r="W34" s="83"/>
      <c r="X34" s="84"/>
      <c r="Y34" s="85"/>
      <c r="Z34" s="83"/>
      <c r="AA34" s="84"/>
      <c r="AB34" s="85"/>
      <c r="AC34" s="83"/>
      <c r="AD34" s="84"/>
      <c r="AE34" s="85"/>
      <c r="AF34" s="83"/>
      <c r="AG34" s="84"/>
      <c r="AH34" s="85"/>
      <c r="AI34" s="83"/>
      <c r="AJ34" s="84"/>
      <c r="AK34" s="85"/>
      <c r="AL34" s="83"/>
      <c r="AM34" s="84"/>
      <c r="AN34" s="85"/>
      <c r="AO34" s="83"/>
      <c r="AP34" s="84"/>
      <c r="AQ34" s="85"/>
      <c r="AR34" s="83"/>
      <c r="AS34" s="84"/>
      <c r="AT34" s="85"/>
      <c r="AU34" s="83"/>
      <c r="AV34" s="84"/>
      <c r="AW34" s="85"/>
      <c r="AX34" s="83">
        <f t="shared" si="0"/>
        <v>2000.72</v>
      </c>
      <c r="AY34" s="84">
        <f t="shared" si="0"/>
        <v>1190.28</v>
      </c>
      <c r="AZ34" s="84">
        <f t="shared" si="1"/>
        <v>3191</v>
      </c>
      <c r="BA34" s="84">
        <v>478.65</v>
      </c>
      <c r="BB34" s="84">
        <v>319.10000000000002</v>
      </c>
      <c r="BC34" s="86">
        <f t="shared" si="2"/>
        <v>1</v>
      </c>
      <c r="BD34" s="86">
        <f t="shared" si="4"/>
        <v>80.510000000000005</v>
      </c>
      <c r="BE34" s="84">
        <v>3988.75</v>
      </c>
    </row>
    <row r="35" spans="1:57" ht="21.75" customHeight="1" thickBot="1" x14ac:dyDescent="0.25">
      <c r="A35" s="75">
        <v>29</v>
      </c>
      <c r="B35" s="75">
        <v>122498</v>
      </c>
      <c r="C35" s="75" t="s">
        <v>217</v>
      </c>
      <c r="D35" s="75" t="s">
        <v>165</v>
      </c>
      <c r="E35" s="75" t="s">
        <v>190</v>
      </c>
      <c r="F35" s="75" t="s">
        <v>163</v>
      </c>
      <c r="G35" s="76">
        <f t="shared" si="3"/>
        <v>294.17600000000004</v>
      </c>
      <c r="H35" s="77">
        <v>2676.64</v>
      </c>
      <c r="I35" s="78">
        <v>832.59</v>
      </c>
      <c r="J35" s="79">
        <v>107.712</v>
      </c>
      <c r="K35" s="77"/>
      <c r="L35" s="78"/>
      <c r="M35" s="79"/>
      <c r="N35" s="77">
        <v>1209.5</v>
      </c>
      <c r="O35" s="78">
        <v>2297.3200000000002</v>
      </c>
      <c r="P35" s="79">
        <v>48.671999999999997</v>
      </c>
      <c r="Q35" s="77">
        <v>665.78</v>
      </c>
      <c r="R35" s="78">
        <v>1074.3399999999999</v>
      </c>
      <c r="S35" s="79">
        <v>26.792000000000002</v>
      </c>
      <c r="T35" s="77"/>
      <c r="U35" s="78"/>
      <c r="V35" s="79"/>
      <c r="W35" s="77">
        <v>113.82</v>
      </c>
      <c r="X35" s="78">
        <v>118.9</v>
      </c>
      <c r="Y35" s="79">
        <v>21</v>
      </c>
      <c r="Z35" s="77">
        <v>548.24</v>
      </c>
      <c r="AA35" s="78">
        <v>1191.8699999999999</v>
      </c>
      <c r="AB35" s="79">
        <v>77</v>
      </c>
      <c r="AC35" s="77">
        <v>92.56</v>
      </c>
      <c r="AD35" s="78">
        <v>2139.4899999999998</v>
      </c>
      <c r="AE35" s="79">
        <v>13</v>
      </c>
      <c r="AF35" s="77"/>
      <c r="AG35" s="78"/>
      <c r="AH35" s="79"/>
      <c r="AI35" s="77"/>
      <c r="AJ35" s="78"/>
      <c r="AK35" s="79"/>
      <c r="AL35" s="77"/>
      <c r="AM35" s="78"/>
      <c r="AN35" s="79"/>
      <c r="AO35" s="77"/>
      <c r="AP35" s="78"/>
      <c r="AQ35" s="79"/>
      <c r="AR35" s="77"/>
      <c r="AS35" s="78"/>
      <c r="AT35" s="79"/>
      <c r="AU35" s="77"/>
      <c r="AV35" s="78"/>
      <c r="AW35" s="79"/>
      <c r="AX35" s="77">
        <f t="shared" si="0"/>
        <v>5306.54</v>
      </c>
      <c r="AY35" s="78">
        <f t="shared" si="0"/>
        <v>7654.5099999999993</v>
      </c>
      <c r="AZ35" s="78">
        <f t="shared" si="1"/>
        <v>12961.049999999996</v>
      </c>
      <c r="BA35" s="78">
        <v>1944.16</v>
      </c>
      <c r="BB35" s="78">
        <v>1296.105</v>
      </c>
      <c r="BC35" s="80">
        <f t="shared" si="2"/>
        <v>6</v>
      </c>
      <c r="BD35" s="80">
        <f t="shared" si="4"/>
        <v>294.17600000000004</v>
      </c>
      <c r="BE35" s="78">
        <v>16201.31</v>
      </c>
    </row>
    <row r="36" spans="1:57" ht="21.75" customHeight="1" thickBot="1" x14ac:dyDescent="0.25">
      <c r="A36" s="81">
        <v>30</v>
      </c>
      <c r="B36" s="81">
        <v>121785</v>
      </c>
      <c r="C36" s="81" t="s">
        <v>218</v>
      </c>
      <c r="D36" s="81" t="s">
        <v>168</v>
      </c>
      <c r="E36" s="81" t="s">
        <v>169</v>
      </c>
      <c r="F36" s="81" t="s">
        <v>170</v>
      </c>
      <c r="G36" s="82">
        <f t="shared" si="3"/>
        <v>188.66</v>
      </c>
      <c r="H36" s="83">
        <v>2005.3</v>
      </c>
      <c r="I36" s="84">
        <v>4150.37</v>
      </c>
      <c r="J36" s="85">
        <v>80.7</v>
      </c>
      <c r="K36" s="83"/>
      <c r="L36" s="84"/>
      <c r="M36" s="85"/>
      <c r="N36" s="83">
        <v>1184.95</v>
      </c>
      <c r="O36" s="84">
        <v>2789.99</v>
      </c>
      <c r="P36" s="85">
        <v>47.68</v>
      </c>
      <c r="Q36" s="83">
        <v>354.86</v>
      </c>
      <c r="R36" s="84">
        <v>533.25</v>
      </c>
      <c r="S36" s="85">
        <v>14.28</v>
      </c>
      <c r="T36" s="83"/>
      <c r="U36" s="84"/>
      <c r="V36" s="85"/>
      <c r="W36" s="83"/>
      <c r="X36" s="84"/>
      <c r="Y36" s="85"/>
      <c r="Z36" s="83"/>
      <c r="AA36" s="84"/>
      <c r="AB36" s="85"/>
      <c r="AC36" s="83">
        <v>92.56</v>
      </c>
      <c r="AD36" s="84">
        <v>2833.31</v>
      </c>
      <c r="AE36" s="85">
        <v>13</v>
      </c>
      <c r="AF36" s="83"/>
      <c r="AG36" s="84"/>
      <c r="AH36" s="85"/>
      <c r="AI36" s="83"/>
      <c r="AJ36" s="84"/>
      <c r="AK36" s="85"/>
      <c r="AL36" s="83"/>
      <c r="AM36" s="84"/>
      <c r="AN36" s="85"/>
      <c r="AO36" s="83"/>
      <c r="AP36" s="84"/>
      <c r="AQ36" s="85"/>
      <c r="AR36" s="83"/>
      <c r="AS36" s="84"/>
      <c r="AT36" s="85"/>
      <c r="AU36" s="83">
        <v>216.15</v>
      </c>
      <c r="AV36" s="84">
        <v>1499.04</v>
      </c>
      <c r="AW36" s="85">
        <v>33</v>
      </c>
      <c r="AX36" s="83">
        <f t="shared" si="0"/>
        <v>3853.82</v>
      </c>
      <c r="AY36" s="84">
        <f t="shared" si="0"/>
        <v>11805.96</v>
      </c>
      <c r="AZ36" s="84">
        <f t="shared" si="1"/>
        <v>15659.779999999999</v>
      </c>
      <c r="BA36" s="84">
        <v>2348.9699999999998</v>
      </c>
      <c r="BB36" s="84">
        <v>1565.9769999999999</v>
      </c>
      <c r="BC36" s="86">
        <f t="shared" si="2"/>
        <v>5</v>
      </c>
      <c r="BD36" s="86">
        <f t="shared" si="4"/>
        <v>188.66</v>
      </c>
      <c r="BE36" s="84">
        <v>19574.71</v>
      </c>
    </row>
    <row r="37" spans="1:57" ht="21.75" customHeight="1" thickBot="1" x14ac:dyDescent="0.25">
      <c r="A37" s="75">
        <v>31</v>
      </c>
      <c r="B37" s="75">
        <v>122426</v>
      </c>
      <c r="C37" s="75" t="s">
        <v>219</v>
      </c>
      <c r="D37" s="75" t="s">
        <v>174</v>
      </c>
      <c r="E37" s="75" t="s">
        <v>220</v>
      </c>
      <c r="F37" s="75" t="s">
        <v>163</v>
      </c>
      <c r="G37" s="76">
        <f t="shared" si="3"/>
        <v>417.76</v>
      </c>
      <c r="H37" s="77">
        <v>3183.98</v>
      </c>
      <c r="I37" s="78">
        <v>3301.51</v>
      </c>
      <c r="J37" s="79">
        <v>128.13</v>
      </c>
      <c r="K37" s="77"/>
      <c r="L37" s="78"/>
      <c r="M37" s="79"/>
      <c r="N37" s="77">
        <v>1881.44</v>
      </c>
      <c r="O37" s="78">
        <v>1901.43</v>
      </c>
      <c r="P37" s="79">
        <v>75.709999999999994</v>
      </c>
      <c r="Q37" s="77">
        <v>321.06</v>
      </c>
      <c r="R37" s="78">
        <v>2461.23</v>
      </c>
      <c r="S37" s="79">
        <v>12.92</v>
      </c>
      <c r="T37" s="77"/>
      <c r="U37" s="78"/>
      <c r="V37" s="79"/>
      <c r="W37" s="77"/>
      <c r="X37" s="78"/>
      <c r="Y37" s="79"/>
      <c r="Z37" s="77">
        <v>548.24</v>
      </c>
      <c r="AA37" s="78">
        <v>860.34</v>
      </c>
      <c r="AB37" s="79">
        <v>77</v>
      </c>
      <c r="AC37" s="77">
        <v>92.56</v>
      </c>
      <c r="AD37" s="78">
        <v>4512.83</v>
      </c>
      <c r="AE37" s="79">
        <v>13</v>
      </c>
      <c r="AF37" s="77">
        <v>1102.23</v>
      </c>
      <c r="AG37" s="78">
        <v>4804.53</v>
      </c>
      <c r="AH37" s="79">
        <v>111</v>
      </c>
      <c r="AI37" s="77"/>
      <c r="AJ37" s="78"/>
      <c r="AK37" s="79"/>
      <c r="AL37" s="77"/>
      <c r="AM37" s="78"/>
      <c r="AN37" s="79"/>
      <c r="AO37" s="77"/>
      <c r="AP37" s="78"/>
      <c r="AQ37" s="79"/>
      <c r="AR37" s="77"/>
      <c r="AS37" s="78"/>
      <c r="AT37" s="79"/>
      <c r="AU37" s="77"/>
      <c r="AV37" s="78"/>
      <c r="AW37" s="79"/>
      <c r="AX37" s="77">
        <f t="shared" si="0"/>
        <v>7129.51</v>
      </c>
      <c r="AY37" s="78">
        <f t="shared" si="0"/>
        <v>17841.87</v>
      </c>
      <c r="AZ37" s="78">
        <f t="shared" si="1"/>
        <v>24971.379999999997</v>
      </c>
      <c r="BA37" s="78">
        <v>3745.71</v>
      </c>
      <c r="BB37" s="78">
        <v>2497.1379999999999</v>
      </c>
      <c r="BC37" s="80">
        <f t="shared" si="2"/>
        <v>6</v>
      </c>
      <c r="BD37" s="80">
        <f t="shared" si="4"/>
        <v>417.76</v>
      </c>
      <c r="BE37" s="78">
        <v>31214.23</v>
      </c>
    </row>
    <row r="38" spans="1:57" ht="21.75" customHeight="1" thickBot="1" x14ac:dyDescent="0.25">
      <c r="A38" s="81">
        <v>32</v>
      </c>
      <c r="B38" s="81">
        <v>122499</v>
      </c>
      <c r="C38" s="81" t="s">
        <v>221</v>
      </c>
      <c r="D38" s="81" t="s">
        <v>177</v>
      </c>
      <c r="E38" s="81" t="s">
        <v>222</v>
      </c>
      <c r="F38" s="81" t="s">
        <v>170</v>
      </c>
      <c r="G38" s="82">
        <f t="shared" si="3"/>
        <v>158.6</v>
      </c>
      <c r="H38" s="83">
        <v>2274.27</v>
      </c>
      <c r="I38" s="84">
        <v>50.73</v>
      </c>
      <c r="J38" s="85">
        <v>91.52</v>
      </c>
      <c r="K38" s="83"/>
      <c r="L38" s="84"/>
      <c r="M38" s="85"/>
      <c r="N38" s="83">
        <v>1343.89</v>
      </c>
      <c r="O38" s="84">
        <v>1543.69</v>
      </c>
      <c r="P38" s="85">
        <v>54.08</v>
      </c>
      <c r="Q38" s="83"/>
      <c r="R38" s="84"/>
      <c r="S38" s="85"/>
      <c r="T38" s="83"/>
      <c r="U38" s="84"/>
      <c r="V38" s="85"/>
      <c r="W38" s="83"/>
      <c r="X38" s="84"/>
      <c r="Y38" s="85"/>
      <c r="Z38" s="83"/>
      <c r="AA38" s="84"/>
      <c r="AB38" s="85"/>
      <c r="AC38" s="83">
        <v>92.56</v>
      </c>
      <c r="AD38" s="84">
        <v>2495.58</v>
      </c>
      <c r="AE38" s="85">
        <v>13</v>
      </c>
      <c r="AF38" s="83"/>
      <c r="AG38" s="84"/>
      <c r="AH38" s="85"/>
      <c r="AI38" s="83"/>
      <c r="AJ38" s="84"/>
      <c r="AK38" s="85"/>
      <c r="AL38" s="83"/>
      <c r="AM38" s="84"/>
      <c r="AN38" s="85"/>
      <c r="AO38" s="83"/>
      <c r="AP38" s="84"/>
      <c r="AQ38" s="85"/>
      <c r="AR38" s="83"/>
      <c r="AS38" s="84"/>
      <c r="AT38" s="85"/>
      <c r="AU38" s="83"/>
      <c r="AV38" s="84"/>
      <c r="AW38" s="85"/>
      <c r="AX38" s="83">
        <f t="shared" si="0"/>
        <v>3710.72</v>
      </c>
      <c r="AY38" s="84">
        <f t="shared" si="0"/>
        <v>4090</v>
      </c>
      <c r="AZ38" s="84">
        <f t="shared" si="1"/>
        <v>7800.72</v>
      </c>
      <c r="BA38" s="84">
        <v>1170.1099999999999</v>
      </c>
      <c r="BB38" s="84">
        <v>780.072</v>
      </c>
      <c r="BC38" s="86">
        <f t="shared" si="2"/>
        <v>3</v>
      </c>
      <c r="BD38" s="86">
        <f t="shared" si="4"/>
        <v>158.6</v>
      </c>
      <c r="BE38" s="84">
        <v>9750.9</v>
      </c>
    </row>
    <row r="39" spans="1:57" ht="21.75" customHeight="1" thickBot="1" x14ac:dyDescent="0.25">
      <c r="A39" s="75">
        <v>33</v>
      </c>
      <c r="B39" s="75">
        <v>123259</v>
      </c>
      <c r="C39" s="75" t="s">
        <v>223</v>
      </c>
      <c r="D39" s="75" t="s">
        <v>168</v>
      </c>
      <c r="E39" s="75" t="s">
        <v>169</v>
      </c>
      <c r="F39" s="75" t="s">
        <v>170</v>
      </c>
      <c r="G39" s="76">
        <f t="shared" si="3"/>
        <v>182.42000000000002</v>
      </c>
      <c r="H39" s="77">
        <v>1741.44</v>
      </c>
      <c r="I39" s="78"/>
      <c r="J39" s="79">
        <v>90.29</v>
      </c>
      <c r="K39" s="77"/>
      <c r="L39" s="78"/>
      <c r="M39" s="79"/>
      <c r="N39" s="77">
        <v>1325.8</v>
      </c>
      <c r="O39" s="78">
        <v>1140.8599999999999</v>
      </c>
      <c r="P39" s="79">
        <v>53.35</v>
      </c>
      <c r="Q39" s="77">
        <v>392.03</v>
      </c>
      <c r="R39" s="78">
        <v>496.08</v>
      </c>
      <c r="S39" s="79">
        <v>15.78</v>
      </c>
      <c r="T39" s="77"/>
      <c r="U39" s="78"/>
      <c r="V39" s="79"/>
      <c r="W39" s="77"/>
      <c r="X39" s="78"/>
      <c r="Y39" s="79"/>
      <c r="Z39" s="77"/>
      <c r="AA39" s="78"/>
      <c r="AB39" s="79"/>
      <c r="AC39" s="77">
        <v>92.56</v>
      </c>
      <c r="AD39" s="78">
        <v>2229.46</v>
      </c>
      <c r="AE39" s="79">
        <v>13</v>
      </c>
      <c r="AF39" s="77"/>
      <c r="AG39" s="78"/>
      <c r="AH39" s="79"/>
      <c r="AI39" s="77"/>
      <c r="AJ39" s="78"/>
      <c r="AK39" s="79"/>
      <c r="AL39" s="77">
        <v>1.1399999999999999</v>
      </c>
      <c r="AM39" s="78">
        <v>0</v>
      </c>
      <c r="AN39" s="79">
        <v>5</v>
      </c>
      <c r="AO39" s="77">
        <v>20.420000000000002</v>
      </c>
      <c r="AP39" s="78">
        <v>0</v>
      </c>
      <c r="AQ39" s="79">
        <v>5</v>
      </c>
      <c r="AR39" s="77"/>
      <c r="AS39" s="78"/>
      <c r="AT39" s="79"/>
      <c r="AU39" s="77"/>
      <c r="AV39" s="78"/>
      <c r="AW39" s="79"/>
      <c r="AX39" s="77">
        <f t="shared" si="0"/>
        <v>3573.3899999999994</v>
      </c>
      <c r="AY39" s="78">
        <f t="shared" si="0"/>
        <v>3866.3999999999996</v>
      </c>
      <c r="AZ39" s="78">
        <f t="shared" si="1"/>
        <v>7439.79</v>
      </c>
      <c r="BA39" s="78">
        <v>1115.97</v>
      </c>
      <c r="BB39" s="78">
        <v>743.97900000000004</v>
      </c>
      <c r="BC39" s="80">
        <f t="shared" si="2"/>
        <v>6</v>
      </c>
      <c r="BD39" s="80">
        <f t="shared" si="4"/>
        <v>182.42000000000002</v>
      </c>
      <c r="BE39" s="78">
        <v>9299.74</v>
      </c>
    </row>
    <row r="40" spans="1:57" ht="21.75" customHeight="1" thickBot="1" x14ac:dyDescent="0.25">
      <c r="A40" s="81">
        <v>34</v>
      </c>
      <c r="B40" s="81">
        <v>123036</v>
      </c>
      <c r="C40" s="81" t="s">
        <v>224</v>
      </c>
      <c r="D40" s="81" t="s">
        <v>174</v>
      </c>
      <c r="E40" s="81" t="s">
        <v>225</v>
      </c>
      <c r="F40" s="81" t="s">
        <v>163</v>
      </c>
      <c r="G40" s="82">
        <f t="shared" si="3"/>
        <v>246.56</v>
      </c>
      <c r="H40" s="83"/>
      <c r="I40" s="84"/>
      <c r="J40" s="85"/>
      <c r="K40" s="83"/>
      <c r="L40" s="84"/>
      <c r="M40" s="85"/>
      <c r="N40" s="83"/>
      <c r="O40" s="84"/>
      <c r="P40" s="85"/>
      <c r="Q40" s="83">
        <v>1132.17</v>
      </c>
      <c r="R40" s="84">
        <v>25.22</v>
      </c>
      <c r="S40" s="85">
        <v>45.56</v>
      </c>
      <c r="T40" s="83"/>
      <c r="U40" s="84"/>
      <c r="V40" s="85"/>
      <c r="W40" s="83"/>
      <c r="X40" s="84"/>
      <c r="Y40" s="85"/>
      <c r="Z40" s="83">
        <v>548.24</v>
      </c>
      <c r="AA40" s="84">
        <v>609.15</v>
      </c>
      <c r="AB40" s="85">
        <v>77</v>
      </c>
      <c r="AC40" s="83">
        <v>92.56</v>
      </c>
      <c r="AD40" s="84">
        <v>6619.02</v>
      </c>
      <c r="AE40" s="85">
        <v>13</v>
      </c>
      <c r="AF40" s="83">
        <v>1102.23</v>
      </c>
      <c r="AG40" s="84">
        <v>4298.9399999999996</v>
      </c>
      <c r="AH40" s="85">
        <v>111</v>
      </c>
      <c r="AI40" s="83"/>
      <c r="AJ40" s="84"/>
      <c r="AK40" s="85"/>
      <c r="AL40" s="83"/>
      <c r="AM40" s="84"/>
      <c r="AN40" s="85"/>
      <c r="AO40" s="83"/>
      <c r="AP40" s="84"/>
      <c r="AQ40" s="85"/>
      <c r="AR40" s="83"/>
      <c r="AS40" s="84"/>
      <c r="AT40" s="85"/>
      <c r="AU40" s="83"/>
      <c r="AV40" s="84"/>
      <c r="AW40" s="85"/>
      <c r="AX40" s="83">
        <f t="shared" si="0"/>
        <v>2875.2</v>
      </c>
      <c r="AY40" s="84">
        <f t="shared" si="0"/>
        <v>11552.33</v>
      </c>
      <c r="AZ40" s="84">
        <f t="shared" si="1"/>
        <v>14427.529999999999</v>
      </c>
      <c r="BA40" s="84">
        <v>2164.13</v>
      </c>
      <c r="BB40" s="84">
        <v>1442.7529999999999</v>
      </c>
      <c r="BC40" s="86">
        <f t="shared" si="2"/>
        <v>4</v>
      </c>
      <c r="BD40" s="86">
        <f t="shared" si="4"/>
        <v>246.56</v>
      </c>
      <c r="BE40" s="84">
        <v>18034.41</v>
      </c>
    </row>
    <row r="41" spans="1:57" ht="21.75" customHeight="1" thickBot="1" x14ac:dyDescent="0.25">
      <c r="A41" s="75">
        <v>35</v>
      </c>
      <c r="B41" s="75">
        <v>123021</v>
      </c>
      <c r="C41" s="75" t="s">
        <v>226</v>
      </c>
      <c r="D41" s="75" t="s">
        <v>208</v>
      </c>
      <c r="E41" s="75" t="s">
        <v>227</v>
      </c>
      <c r="F41" s="75" t="s">
        <v>163</v>
      </c>
      <c r="G41" s="76">
        <f t="shared" si="3"/>
        <v>166</v>
      </c>
      <c r="H41" s="77">
        <v>3122.75</v>
      </c>
      <c r="I41" s="78">
        <v>1101.79</v>
      </c>
      <c r="J41" s="79">
        <v>125.66</v>
      </c>
      <c r="K41" s="77"/>
      <c r="L41" s="78"/>
      <c r="M41" s="79"/>
      <c r="N41" s="77"/>
      <c r="O41" s="78"/>
      <c r="P41" s="79"/>
      <c r="Q41" s="77">
        <v>679.3</v>
      </c>
      <c r="R41" s="78">
        <v>2361.5</v>
      </c>
      <c r="S41" s="79">
        <v>27.34</v>
      </c>
      <c r="T41" s="77"/>
      <c r="U41" s="78"/>
      <c r="V41" s="79"/>
      <c r="W41" s="77"/>
      <c r="X41" s="78"/>
      <c r="Y41" s="79"/>
      <c r="Z41" s="77"/>
      <c r="AA41" s="78"/>
      <c r="AB41" s="79"/>
      <c r="AC41" s="77">
        <v>92.56</v>
      </c>
      <c r="AD41" s="78">
        <v>863.12</v>
      </c>
      <c r="AE41" s="79">
        <v>13</v>
      </c>
      <c r="AF41" s="77"/>
      <c r="AG41" s="78"/>
      <c r="AH41" s="79"/>
      <c r="AI41" s="77"/>
      <c r="AJ41" s="78"/>
      <c r="AK41" s="79"/>
      <c r="AL41" s="77"/>
      <c r="AM41" s="78"/>
      <c r="AN41" s="79"/>
      <c r="AO41" s="77"/>
      <c r="AP41" s="78"/>
      <c r="AQ41" s="79"/>
      <c r="AR41" s="77"/>
      <c r="AS41" s="78"/>
      <c r="AT41" s="79"/>
      <c r="AU41" s="77"/>
      <c r="AV41" s="78"/>
      <c r="AW41" s="79"/>
      <c r="AX41" s="77">
        <f t="shared" si="0"/>
        <v>3894.61</v>
      </c>
      <c r="AY41" s="78">
        <f t="shared" si="0"/>
        <v>4326.41</v>
      </c>
      <c r="AZ41" s="78">
        <f t="shared" si="1"/>
        <v>8221.02</v>
      </c>
      <c r="BA41" s="78">
        <v>1233.1500000000001</v>
      </c>
      <c r="BB41" s="78">
        <v>822.10200000000009</v>
      </c>
      <c r="BC41" s="80">
        <f t="shared" si="2"/>
        <v>3</v>
      </c>
      <c r="BD41" s="80">
        <f t="shared" si="4"/>
        <v>166</v>
      </c>
      <c r="BE41" s="78">
        <v>10276.280000000001</v>
      </c>
    </row>
    <row r="42" spans="1:57" ht="21.75" customHeight="1" thickBot="1" x14ac:dyDescent="0.25">
      <c r="A42" s="81">
        <v>36</v>
      </c>
      <c r="B42" s="81">
        <v>123041</v>
      </c>
      <c r="C42" s="81" t="s">
        <v>228</v>
      </c>
      <c r="D42" s="81" t="s">
        <v>174</v>
      </c>
      <c r="E42" s="81" t="s">
        <v>175</v>
      </c>
      <c r="F42" s="81" t="s">
        <v>163</v>
      </c>
      <c r="G42" s="82">
        <f t="shared" si="3"/>
        <v>251.92000000000002</v>
      </c>
      <c r="H42" s="83">
        <v>1507.97</v>
      </c>
      <c r="I42" s="84"/>
      <c r="J42" s="85">
        <v>73.92</v>
      </c>
      <c r="K42" s="83"/>
      <c r="L42" s="84"/>
      <c r="M42" s="85"/>
      <c r="N42" s="83"/>
      <c r="O42" s="84"/>
      <c r="P42" s="85"/>
      <c r="Q42" s="83"/>
      <c r="R42" s="84"/>
      <c r="S42" s="85"/>
      <c r="T42" s="83"/>
      <c r="U42" s="84"/>
      <c r="V42" s="85"/>
      <c r="W42" s="83"/>
      <c r="X42" s="84"/>
      <c r="Y42" s="85"/>
      <c r="Z42" s="83"/>
      <c r="AA42" s="84"/>
      <c r="AB42" s="85"/>
      <c r="AC42" s="83">
        <v>92.56</v>
      </c>
      <c r="AD42" s="84">
        <v>2155.13</v>
      </c>
      <c r="AE42" s="85">
        <v>13</v>
      </c>
      <c r="AF42" s="83">
        <v>1102.23</v>
      </c>
      <c r="AG42" s="84">
        <v>4884.7299999999996</v>
      </c>
      <c r="AH42" s="85">
        <v>111</v>
      </c>
      <c r="AI42" s="83"/>
      <c r="AJ42" s="84"/>
      <c r="AK42" s="85"/>
      <c r="AL42" s="83"/>
      <c r="AM42" s="84"/>
      <c r="AN42" s="85"/>
      <c r="AO42" s="83"/>
      <c r="AP42" s="84"/>
      <c r="AQ42" s="85"/>
      <c r="AR42" s="83">
        <v>536.22</v>
      </c>
      <c r="AS42" s="84">
        <v>4817.83</v>
      </c>
      <c r="AT42" s="85">
        <v>54</v>
      </c>
      <c r="AU42" s="83"/>
      <c r="AV42" s="84"/>
      <c r="AW42" s="85"/>
      <c r="AX42" s="83">
        <f t="shared" si="0"/>
        <v>3238.9800000000005</v>
      </c>
      <c r="AY42" s="84">
        <f t="shared" si="0"/>
        <v>11857.689999999999</v>
      </c>
      <c r="AZ42" s="84">
        <f t="shared" si="1"/>
        <v>15096.669999999998</v>
      </c>
      <c r="BA42" s="84">
        <v>2264.5</v>
      </c>
      <c r="BB42" s="84">
        <v>1509.6670000000001</v>
      </c>
      <c r="BC42" s="86">
        <f t="shared" si="2"/>
        <v>4</v>
      </c>
      <c r="BD42" s="86">
        <f t="shared" si="4"/>
        <v>251.92000000000002</v>
      </c>
      <c r="BE42" s="84">
        <v>18870.84</v>
      </c>
    </row>
    <row r="43" spans="1:57" ht="21.75" customHeight="1" thickBot="1" x14ac:dyDescent="0.25">
      <c r="A43" s="75">
        <v>37</v>
      </c>
      <c r="B43" s="75">
        <v>123372</v>
      </c>
      <c r="C43" s="75" t="s">
        <v>229</v>
      </c>
      <c r="D43" s="75" t="s">
        <v>208</v>
      </c>
      <c r="E43" s="75" t="s">
        <v>230</v>
      </c>
      <c r="F43" s="75" t="s">
        <v>163</v>
      </c>
      <c r="G43" s="76">
        <f t="shared" si="3"/>
        <v>233.93</v>
      </c>
      <c r="H43" s="87">
        <v>2729.13</v>
      </c>
      <c r="I43" s="88">
        <v>1397.67</v>
      </c>
      <c r="J43" s="89">
        <v>109.82</v>
      </c>
      <c r="K43" s="77">
        <v>1129.08</v>
      </c>
      <c r="L43" s="78">
        <v>1911.72</v>
      </c>
      <c r="M43" s="79">
        <v>45.44</v>
      </c>
      <c r="N43" s="77">
        <v>1209.5</v>
      </c>
      <c r="O43" s="78">
        <v>2461.1799999999998</v>
      </c>
      <c r="P43" s="79">
        <v>48.67</v>
      </c>
      <c r="Q43" s="77">
        <v>422.45</v>
      </c>
      <c r="R43" s="78">
        <v>3052.75</v>
      </c>
      <c r="S43" s="79">
        <v>17</v>
      </c>
      <c r="T43" s="77"/>
      <c r="U43" s="78"/>
      <c r="V43" s="79"/>
      <c r="W43" s="77"/>
      <c r="X43" s="78"/>
      <c r="Y43" s="79"/>
      <c r="Z43" s="77"/>
      <c r="AA43" s="78"/>
      <c r="AB43" s="79"/>
      <c r="AC43" s="77">
        <v>92.56</v>
      </c>
      <c r="AD43" s="78">
        <v>602.48</v>
      </c>
      <c r="AE43" s="79">
        <v>13</v>
      </c>
      <c r="AF43" s="77"/>
      <c r="AG43" s="78"/>
      <c r="AH43" s="79"/>
      <c r="AI43" s="77"/>
      <c r="AJ43" s="78"/>
      <c r="AK43" s="79"/>
      <c r="AL43" s="77"/>
      <c r="AM43" s="78"/>
      <c r="AN43" s="79"/>
      <c r="AO43" s="77"/>
      <c r="AP43" s="78"/>
      <c r="AQ43" s="79"/>
      <c r="AR43" s="77"/>
      <c r="AS43" s="78"/>
      <c r="AT43" s="79"/>
      <c r="AU43" s="87"/>
      <c r="AV43" s="88"/>
      <c r="AW43" s="89"/>
      <c r="AX43" s="77">
        <f t="shared" si="0"/>
        <v>5582.72</v>
      </c>
      <c r="AY43" s="78">
        <f t="shared" si="0"/>
        <v>9425.7999999999993</v>
      </c>
      <c r="AZ43" s="78">
        <f t="shared" si="1"/>
        <v>15008.52</v>
      </c>
      <c r="BA43" s="78">
        <v>2251.2800000000002</v>
      </c>
      <c r="BB43" s="78">
        <v>1500.8520000000001</v>
      </c>
      <c r="BC43" s="80">
        <f t="shared" si="2"/>
        <v>5</v>
      </c>
      <c r="BD43" s="80">
        <f t="shared" si="4"/>
        <v>233.93</v>
      </c>
      <c r="BE43" s="78">
        <v>18760.650000000001</v>
      </c>
    </row>
    <row r="44" spans="1:57" ht="20.25" customHeight="1" thickBot="1" x14ac:dyDescent="0.25">
      <c r="A44" s="90"/>
      <c r="B44" s="90"/>
      <c r="C44" s="90"/>
      <c r="D44" s="90"/>
      <c r="E44" s="90"/>
      <c r="F44" s="90"/>
      <c r="G44" s="91">
        <f t="shared" ref="G44:AU44" si="5">SUM(G7:G43)</f>
        <v>8244.8160000000025</v>
      </c>
      <c r="H44" s="92">
        <f t="shared" si="5"/>
        <v>54761.700000000004</v>
      </c>
      <c r="I44" s="92">
        <f t="shared" si="5"/>
        <v>65219.23000000001</v>
      </c>
      <c r="J44" s="91">
        <f t="shared" si="5"/>
        <v>2333.422</v>
      </c>
      <c r="K44" s="92">
        <f t="shared" si="5"/>
        <v>9786.35</v>
      </c>
      <c r="L44" s="92">
        <f t="shared" si="5"/>
        <v>18850.650000000001</v>
      </c>
      <c r="M44" s="91">
        <f t="shared" si="5"/>
        <v>395.35999999999996</v>
      </c>
      <c r="N44" s="92">
        <f t="shared" si="5"/>
        <v>36322.04</v>
      </c>
      <c r="O44" s="92">
        <f t="shared" si="5"/>
        <v>73028.849999999991</v>
      </c>
      <c r="P44" s="91">
        <f t="shared" si="5"/>
        <v>1461.6420000000001</v>
      </c>
      <c r="Q44" s="92">
        <f t="shared" si="5"/>
        <v>12671.450000000003</v>
      </c>
      <c r="R44" s="92">
        <f t="shared" si="5"/>
        <v>33071.15</v>
      </c>
      <c r="S44" s="91">
        <f t="shared" si="5"/>
        <v>534.79200000000003</v>
      </c>
      <c r="T44" s="92">
        <f t="shared" si="5"/>
        <v>254.2</v>
      </c>
      <c r="U44" s="92">
        <f>SUM(U7:U43)</f>
        <v>610.66</v>
      </c>
      <c r="V44" s="91">
        <f t="shared" si="5"/>
        <v>25.6</v>
      </c>
      <c r="W44" s="92">
        <f>SUM(W7:W43)</f>
        <v>445.33</v>
      </c>
      <c r="X44" s="92">
        <f t="shared" si="5"/>
        <v>2368.7000000000003</v>
      </c>
      <c r="Y44" s="91">
        <f t="shared" si="5"/>
        <v>105</v>
      </c>
      <c r="Z44" s="92">
        <f t="shared" si="5"/>
        <v>8899.0399999999972</v>
      </c>
      <c r="AA44" s="92">
        <f t="shared" si="5"/>
        <v>11729.939999999997</v>
      </c>
      <c r="AB44" s="91">
        <f t="shared" si="5"/>
        <v>1309</v>
      </c>
      <c r="AC44" s="92">
        <f t="shared" si="5"/>
        <v>2869.3599999999988</v>
      </c>
      <c r="AD44" s="92">
        <f t="shared" si="5"/>
        <v>104246.15000000002</v>
      </c>
      <c r="AE44" s="91">
        <f t="shared" si="5"/>
        <v>403</v>
      </c>
      <c r="AF44" s="92">
        <f t="shared" si="5"/>
        <v>13226.759999999997</v>
      </c>
      <c r="AG44" s="92">
        <f t="shared" si="5"/>
        <v>53924.069999999992</v>
      </c>
      <c r="AH44" s="91">
        <f t="shared" si="5"/>
        <v>1332</v>
      </c>
      <c r="AI44" s="92">
        <f t="shared" si="5"/>
        <v>0</v>
      </c>
      <c r="AJ44" s="92">
        <f t="shared" si="5"/>
        <v>0</v>
      </c>
      <c r="AK44" s="91">
        <f t="shared" si="5"/>
        <v>0</v>
      </c>
      <c r="AL44" s="92">
        <f t="shared" si="5"/>
        <v>13.660000000000002</v>
      </c>
      <c r="AM44" s="92">
        <f t="shared" si="5"/>
        <v>0</v>
      </c>
      <c r="AN44" s="91">
        <f t="shared" si="5"/>
        <v>20</v>
      </c>
      <c r="AO44" s="92">
        <f t="shared" si="5"/>
        <v>47.52</v>
      </c>
      <c r="AP44" s="92">
        <f t="shared" si="5"/>
        <v>10.91</v>
      </c>
      <c r="AQ44" s="91">
        <f t="shared" si="5"/>
        <v>10</v>
      </c>
      <c r="AR44" s="92">
        <f t="shared" si="5"/>
        <v>2144.88</v>
      </c>
      <c r="AS44" s="92">
        <f t="shared" si="5"/>
        <v>18737.309999999998</v>
      </c>
      <c r="AT44" s="91">
        <f t="shared" si="5"/>
        <v>216</v>
      </c>
      <c r="AU44" s="92">
        <f t="shared" si="5"/>
        <v>648.45000000000005</v>
      </c>
      <c r="AV44" s="92">
        <f>SUBTOTAL(9,AV7:AV43)</f>
        <v>7121.36</v>
      </c>
      <c r="AW44" s="91">
        <f>SUM(AW7:AW43)</f>
        <v>99</v>
      </c>
      <c r="AX44" s="93">
        <f>SUM(AX7:AX43)</f>
        <v>142090.74</v>
      </c>
      <c r="AY44" s="93">
        <f>SUBTOTAL(9,AY7:AY43)</f>
        <v>388918.98000000004</v>
      </c>
      <c r="AZ44" s="93">
        <f t="shared" si="1"/>
        <v>531009.72000000009</v>
      </c>
      <c r="BA44" s="93">
        <f>SUBTOTAL(9,BA7:BA43)</f>
        <v>79651.460000000021</v>
      </c>
      <c r="BB44" s="93">
        <f t="shared" ref="BB44:BD44" si="6">SUBTOTAL(9,BB7:BB43)</f>
        <v>53100.969000000005</v>
      </c>
      <c r="BC44" s="91">
        <f>SUBTOTAL(9,BC7:BC43)</f>
        <v>162</v>
      </c>
      <c r="BD44" s="91">
        <f t="shared" si="6"/>
        <v>8244.8160000000025</v>
      </c>
      <c r="BE44" s="93">
        <f>SUM(BE7:BE43)</f>
        <v>663762.14999999991</v>
      </c>
    </row>
    <row r="45" spans="1:57" ht="48" customHeight="1" thickBot="1" x14ac:dyDescent="0.25">
      <c r="A45" s="90"/>
      <c r="B45" s="90"/>
      <c r="C45" s="90"/>
      <c r="D45" s="90"/>
      <c r="E45" s="90"/>
      <c r="F45" s="93">
        <f>SUBTOTAL(9,H45:AW45)</f>
        <v>531009.72</v>
      </c>
      <c r="G45" s="90" t="s">
        <v>47</v>
      </c>
      <c r="H45" s="92">
        <f>H44+I44</f>
        <v>119980.93000000002</v>
      </c>
      <c r="I45" s="92"/>
      <c r="J45" s="90"/>
      <c r="K45" s="92">
        <f>K44+L44</f>
        <v>28637</v>
      </c>
      <c r="L45" s="92"/>
      <c r="M45" s="90"/>
      <c r="N45" s="92">
        <f>N44+O44</f>
        <v>109350.88999999998</v>
      </c>
      <c r="O45" s="92"/>
      <c r="P45" s="90"/>
      <c r="Q45" s="92">
        <f>Q44+R44</f>
        <v>45742.600000000006</v>
      </c>
      <c r="R45" s="92"/>
      <c r="S45" s="90"/>
      <c r="T45" s="92">
        <f>T44+U44</f>
        <v>864.8599999999999</v>
      </c>
      <c r="U45" s="92"/>
      <c r="V45" s="90"/>
      <c r="W45" s="92">
        <f>W44+X44</f>
        <v>2814.03</v>
      </c>
      <c r="X45" s="92"/>
      <c r="Y45" s="90"/>
      <c r="Z45" s="92">
        <f>Z44+AA44</f>
        <v>20628.979999999996</v>
      </c>
      <c r="AA45" s="92"/>
      <c r="AB45" s="90"/>
      <c r="AC45" s="92">
        <f>AC44+AD44</f>
        <v>107115.51000000002</v>
      </c>
      <c r="AD45" s="92"/>
      <c r="AE45" s="90"/>
      <c r="AF45" s="92">
        <f>AF44+AG44</f>
        <v>67150.829999999987</v>
      </c>
      <c r="AG45" s="92"/>
      <c r="AH45" s="90"/>
      <c r="AI45" s="92">
        <f>AI44+AJ44</f>
        <v>0</v>
      </c>
      <c r="AJ45" s="92"/>
      <c r="AK45" s="90"/>
      <c r="AL45" s="92">
        <f>AL44+AM44</f>
        <v>13.660000000000002</v>
      </c>
      <c r="AM45" s="92"/>
      <c r="AN45" s="90"/>
      <c r="AO45" s="92">
        <f>AO44+AP44</f>
        <v>58.430000000000007</v>
      </c>
      <c r="AP45" s="92"/>
      <c r="AQ45" s="90"/>
      <c r="AR45" s="92">
        <f>AR44+AS44</f>
        <v>20882.189999999999</v>
      </c>
      <c r="AS45" s="92"/>
      <c r="AT45" s="90"/>
      <c r="AU45" s="92">
        <f>AU44+AV44</f>
        <v>7769.8099999999995</v>
      </c>
      <c r="AV45" s="92"/>
      <c r="AW45" s="90"/>
      <c r="AX45" s="90" t="str">
        <f t="shared" ref="AX45:BD45" si="7">AX6</f>
        <v>Total WIP</v>
      </c>
      <c r="AY45" s="90" t="str">
        <f>AY6</f>
        <v>Total EWIP</v>
      </c>
      <c r="AZ45" s="90" t="str">
        <f>AZ6</f>
        <v>MEASURES INSTALLED COST</v>
      </c>
      <c r="BA45" s="90" t="str">
        <f>BA6</f>
        <v>15% Project Coordination</v>
      </c>
      <c r="BB45" s="90" t="str">
        <f>BB6</f>
        <v>10% Indirect Fee</v>
      </c>
      <c r="BC45" s="90" t="str">
        <f t="shared" si="7"/>
        <v># Measures</v>
      </c>
      <c r="BD45" s="90" t="str">
        <f t="shared" si="7"/>
        <v>Therms</v>
      </c>
      <c r="BE45" s="90" t="str">
        <f>BE6</f>
        <v>Total Project Cost with all Admin</v>
      </c>
    </row>
    <row r="46" spans="1:57" ht="16.5" thickBot="1" x14ac:dyDescent="0.25">
      <c r="B46" s="94"/>
      <c r="E46" s="31" t="s">
        <v>231</v>
      </c>
      <c r="F46" s="96">
        <f>SUBTOTAL(9,H46:AU46)</f>
        <v>162</v>
      </c>
      <c r="G46" s="96"/>
      <c r="H46" s="96">
        <f>COUNT(H7:H43)</f>
        <v>24</v>
      </c>
      <c r="I46" s="96"/>
      <c r="J46" s="96"/>
      <c r="K46" s="96">
        <f>COUNT(K7:K43)</f>
        <v>9</v>
      </c>
      <c r="L46" s="96"/>
      <c r="M46" s="96"/>
      <c r="N46" s="96">
        <f>COUNT(N7:N43)</f>
        <v>26</v>
      </c>
      <c r="O46" s="96"/>
      <c r="P46" s="96"/>
      <c r="Q46" s="96">
        <f>COUNT(Q7:Q43)</f>
        <v>21</v>
      </c>
      <c r="R46" s="96"/>
      <c r="S46" s="96"/>
      <c r="T46" s="96">
        <f>COUNT(T7:T43)</f>
        <v>4</v>
      </c>
      <c r="U46" s="96"/>
      <c r="V46" s="96"/>
      <c r="W46" s="96">
        <f>COUNT(W7:W43)</f>
        <v>5</v>
      </c>
      <c r="X46" s="96"/>
      <c r="Y46" s="96"/>
      <c r="Z46" s="96">
        <f>COUNT(Z7:Z43)</f>
        <v>17</v>
      </c>
      <c r="AA46" s="96"/>
      <c r="AB46" s="96"/>
      <c r="AC46" s="96">
        <f>COUNT(AC7:AC43)</f>
        <v>31</v>
      </c>
      <c r="AD46" s="96"/>
      <c r="AE46" s="96"/>
      <c r="AF46" s="96">
        <f>COUNT(AF7:AF43)</f>
        <v>12</v>
      </c>
      <c r="AG46" s="96"/>
      <c r="AH46" s="96"/>
      <c r="AI46" s="96">
        <f>COUNT(AI7:AI43)</f>
        <v>0</v>
      </c>
      <c r="AJ46" s="96"/>
      <c r="AK46" s="96"/>
      <c r="AL46" s="96">
        <f>COUNT(AL7:AL43)</f>
        <v>4</v>
      </c>
      <c r="AM46" s="96"/>
      <c r="AN46" s="96"/>
      <c r="AO46" s="96">
        <f>COUNT(AO7:AO43)</f>
        <v>2</v>
      </c>
      <c r="AP46" s="96"/>
      <c r="AQ46" s="96"/>
      <c r="AR46" s="96">
        <f>COUNT(AR7:AR43)</f>
        <v>4</v>
      </c>
      <c r="AS46" s="96"/>
      <c r="AT46" s="96"/>
      <c r="AU46" s="96">
        <f>COUNT(AU7:AU43)</f>
        <v>3</v>
      </c>
      <c r="AV46" s="96"/>
      <c r="AW46" s="96"/>
      <c r="BC46" s="97"/>
      <c r="BE46" s="98">
        <f>AZ44+BA44+BB44</f>
        <v>663762.14900000021</v>
      </c>
    </row>
    <row r="47" spans="1:57" ht="16.5" thickBot="1" x14ac:dyDescent="0.25">
      <c r="B47" s="94"/>
      <c r="H47" s="99"/>
      <c r="AZ47" s="31" t="s">
        <v>232</v>
      </c>
      <c r="BA47" s="101">
        <v>32</v>
      </c>
      <c r="BC47" s="102"/>
      <c r="BE47" s="103"/>
    </row>
    <row r="48" spans="1:57" s="94" customFormat="1" ht="23.25" customHeight="1" thickBot="1" x14ac:dyDescent="0.25">
      <c r="G48" s="104"/>
      <c r="H48" s="105"/>
      <c r="I48" s="105"/>
      <c r="J48" s="104"/>
      <c r="K48" s="105"/>
      <c r="L48" s="105"/>
      <c r="N48" s="105"/>
      <c r="O48" s="105"/>
      <c r="P48" s="104"/>
      <c r="Q48" s="105"/>
      <c r="R48" s="105"/>
      <c r="S48" s="104"/>
      <c r="T48" s="105"/>
      <c r="U48" s="105"/>
      <c r="W48" s="105"/>
      <c r="X48" s="105"/>
      <c r="Z48" s="105"/>
      <c r="AA48" s="105"/>
      <c r="AB48" s="104"/>
      <c r="AC48" s="105"/>
      <c r="AD48" s="105"/>
      <c r="AE48" s="104"/>
      <c r="AF48" s="105"/>
      <c r="AG48" s="105"/>
      <c r="AH48" s="104"/>
      <c r="AI48" s="105"/>
      <c r="AJ48" s="105"/>
      <c r="AL48" s="105"/>
      <c r="AM48" s="105"/>
      <c r="AO48" s="105"/>
      <c r="AP48" s="105"/>
      <c r="AR48" s="105"/>
      <c r="AS48" s="105"/>
      <c r="AU48" s="106"/>
      <c r="AV48" s="104"/>
      <c r="AX48" s="105"/>
      <c r="AY48" s="105"/>
      <c r="AZ48" s="31" t="s">
        <v>233</v>
      </c>
      <c r="BA48" s="101">
        <v>5</v>
      </c>
      <c r="BB48" s="102"/>
      <c r="BD48" s="104"/>
      <c r="BE48" s="107">
        <f>AX44+AY44+BA44+BB44</f>
        <v>663762.14899999998</v>
      </c>
    </row>
    <row r="49" spans="5:57" ht="23.25" customHeight="1" thickBot="1" x14ac:dyDescent="0.25">
      <c r="H49" s="99"/>
      <c r="AV49" s="52"/>
      <c r="AZ49" s="31" t="s">
        <v>234</v>
      </c>
      <c r="BA49" s="101">
        <v>0</v>
      </c>
      <c r="BE49" s="103"/>
    </row>
    <row r="50" spans="5:57" x14ac:dyDescent="0.2">
      <c r="H50" s="99"/>
      <c r="AV50" s="52"/>
      <c r="BE50" s="103"/>
    </row>
    <row r="51" spans="5:57" x14ac:dyDescent="0.2">
      <c r="H51" s="99"/>
      <c r="AV51" s="52"/>
      <c r="BE51" s="103"/>
    </row>
    <row r="52" spans="5:57" x14ac:dyDescent="0.2">
      <c r="H52" s="99"/>
      <c r="AV52" s="52"/>
      <c r="BE52" s="103"/>
    </row>
    <row r="53" spans="5:57" x14ac:dyDescent="0.2">
      <c r="H53" s="99"/>
      <c r="AV53" s="52"/>
    </row>
    <row r="54" spans="5:57" x14ac:dyDescent="0.2">
      <c r="H54" s="99"/>
      <c r="AV54" s="52"/>
    </row>
    <row r="55" spans="5:57" x14ac:dyDescent="0.2">
      <c r="H55" s="99"/>
      <c r="AV55" s="52"/>
    </row>
    <row r="56" spans="5:57" x14ac:dyDescent="0.2">
      <c r="H56" s="99"/>
    </row>
    <row r="57" spans="5:57" x14ac:dyDescent="0.2">
      <c r="H57" s="99"/>
    </row>
    <row r="58" spans="5:57" x14ac:dyDescent="0.2">
      <c r="E58" s="97"/>
      <c r="F58" s="99"/>
      <c r="G58" s="48"/>
      <c r="H58" s="55"/>
      <c r="J58" s="48"/>
      <c r="K58" s="43"/>
      <c r="M58" s="48"/>
      <c r="N58" s="52"/>
      <c r="P58" s="48"/>
      <c r="Q58" s="52"/>
      <c r="S58" s="48"/>
      <c r="T58" s="43"/>
      <c r="V58" s="48"/>
      <c r="W58" s="43"/>
      <c r="Y58" s="48"/>
      <c r="Z58" s="55"/>
      <c r="AB58" s="48"/>
      <c r="AC58" s="55"/>
      <c r="AE58" s="48"/>
      <c r="AF58" s="55"/>
      <c r="AH58" s="48"/>
      <c r="AI58" s="43"/>
      <c r="AK58" s="48"/>
      <c r="AL58" s="43"/>
      <c r="AN58" s="48"/>
      <c r="AO58" s="43"/>
      <c r="AQ58" s="48"/>
      <c r="AR58" s="43"/>
      <c r="AS58" s="100"/>
      <c r="AT58" s="100"/>
      <c r="AU58" s="43"/>
      <c r="AV58" s="48"/>
      <c r="AW58" s="48"/>
      <c r="BA58" s="108"/>
      <c r="BB58" s="97"/>
      <c r="BC58" s="109"/>
      <c r="BD58" s="43"/>
      <c r="BE58" s="43"/>
    </row>
    <row r="59" spans="5:57" x14ac:dyDescent="0.2">
      <c r="E59" s="97"/>
      <c r="F59" s="99"/>
      <c r="G59" s="48"/>
      <c r="H59" s="55"/>
      <c r="J59" s="48"/>
      <c r="K59" s="43"/>
      <c r="M59" s="48"/>
      <c r="N59" s="52"/>
      <c r="P59" s="48"/>
      <c r="Q59" s="52"/>
      <c r="S59" s="48"/>
      <c r="T59" s="43"/>
      <c r="V59" s="48"/>
      <c r="W59" s="43"/>
      <c r="Y59" s="48"/>
      <c r="Z59" s="55"/>
      <c r="AB59" s="48"/>
      <c r="AC59" s="55"/>
      <c r="AE59" s="48"/>
      <c r="AF59" s="55"/>
      <c r="AH59" s="48"/>
      <c r="AI59" s="43"/>
      <c r="AK59" s="48"/>
      <c r="AL59" s="43"/>
      <c r="AN59" s="48"/>
      <c r="AO59" s="43"/>
      <c r="AQ59" s="48"/>
      <c r="AR59" s="43"/>
      <c r="AS59" s="100"/>
      <c r="AT59" s="100"/>
      <c r="AU59" s="43"/>
      <c r="AV59" s="48"/>
      <c r="AW59" s="48"/>
      <c r="BA59" s="108"/>
      <c r="BB59" s="97"/>
      <c r="BC59" s="109"/>
      <c r="BD59" s="43"/>
      <c r="BE59" s="43"/>
    </row>
    <row r="60" spans="5:57" x14ac:dyDescent="0.2">
      <c r="E60" s="97"/>
      <c r="F60" s="48"/>
      <c r="G60" s="48"/>
      <c r="H60" s="55"/>
      <c r="J60" s="48"/>
      <c r="K60" s="43"/>
      <c r="M60" s="48"/>
      <c r="N60" s="52"/>
      <c r="P60" s="48"/>
      <c r="Q60" s="52"/>
      <c r="S60" s="48"/>
      <c r="T60" s="43"/>
      <c r="V60" s="48"/>
      <c r="W60" s="43"/>
      <c r="Y60" s="48"/>
      <c r="Z60" s="55"/>
      <c r="AB60" s="48"/>
      <c r="AC60" s="55"/>
      <c r="AE60" s="48"/>
      <c r="AF60" s="55"/>
      <c r="AH60" s="48"/>
      <c r="AI60" s="43"/>
      <c r="AK60" s="48"/>
      <c r="AL60" s="43"/>
      <c r="AN60" s="48"/>
      <c r="AO60" s="43"/>
      <c r="AQ60" s="48"/>
      <c r="AR60" s="43"/>
      <c r="AS60" s="100"/>
      <c r="AT60" s="100"/>
      <c r="AU60" s="43"/>
      <c r="AV60" s="48"/>
      <c r="AW60" s="48"/>
      <c r="BA60" s="108"/>
      <c r="BB60" s="97"/>
      <c r="BC60" s="109"/>
      <c r="BD60" s="43"/>
      <c r="BE60" s="43"/>
    </row>
    <row r="61" spans="5:57" x14ac:dyDescent="0.2">
      <c r="E61" s="97"/>
      <c r="F61" s="48"/>
      <c r="G61" s="48"/>
      <c r="H61" s="55"/>
      <c r="J61" s="48"/>
      <c r="K61" s="43"/>
      <c r="M61" s="48"/>
      <c r="N61" s="52"/>
      <c r="P61" s="48"/>
      <c r="Q61" s="52"/>
      <c r="S61" s="48"/>
      <c r="T61" s="43"/>
      <c r="V61" s="48"/>
      <c r="W61" s="43"/>
      <c r="Y61" s="48"/>
      <c r="Z61" s="55"/>
      <c r="AB61" s="48"/>
      <c r="AC61" s="55"/>
      <c r="AE61" s="48"/>
      <c r="AF61" s="55"/>
      <c r="AH61" s="48"/>
      <c r="AI61" s="43"/>
      <c r="AK61" s="48"/>
      <c r="AL61" s="43"/>
      <c r="AN61" s="48"/>
      <c r="AO61" s="43"/>
      <c r="AQ61" s="48"/>
      <c r="AR61" s="43"/>
      <c r="AS61" s="100"/>
      <c r="AT61" s="100"/>
      <c r="AU61" s="43"/>
      <c r="AV61" s="48"/>
      <c r="AW61" s="48"/>
      <c r="BA61" s="108"/>
      <c r="BB61" s="97"/>
      <c r="BC61" s="109"/>
      <c r="BD61" s="43"/>
      <c r="BE61" s="43"/>
    </row>
    <row r="62" spans="5:57" x14ac:dyDescent="0.2">
      <c r="E62" s="97"/>
      <c r="F62" s="48"/>
      <c r="G62" s="48"/>
      <c r="H62" s="55"/>
      <c r="J62" s="48"/>
      <c r="K62" s="43"/>
      <c r="M62" s="48"/>
      <c r="N62" s="52"/>
      <c r="P62" s="48"/>
      <c r="Q62" s="52"/>
      <c r="S62" s="48"/>
      <c r="T62" s="43"/>
      <c r="V62" s="48"/>
      <c r="W62" s="43"/>
      <c r="Y62" s="48"/>
      <c r="Z62" s="55"/>
      <c r="AB62" s="48"/>
      <c r="AC62" s="55"/>
      <c r="AE62" s="48"/>
      <c r="AF62" s="55"/>
      <c r="AH62" s="48"/>
      <c r="AI62" s="43"/>
      <c r="AK62" s="48"/>
      <c r="AL62" s="43"/>
      <c r="AN62" s="48"/>
      <c r="AO62" s="43"/>
      <c r="AQ62" s="48"/>
      <c r="AR62" s="43"/>
      <c r="AS62" s="100"/>
      <c r="AT62" s="100"/>
      <c r="AU62" s="43"/>
      <c r="AV62" s="48"/>
      <c r="AW62" s="48"/>
      <c r="BA62" s="108"/>
      <c r="BB62" s="97"/>
      <c r="BC62" s="109"/>
      <c r="BD62" s="43"/>
      <c r="BE62" s="43"/>
    </row>
    <row r="63" spans="5:57" x14ac:dyDescent="0.2">
      <c r="E63" s="97"/>
      <c r="F63" s="48"/>
      <c r="G63" s="48"/>
      <c r="H63" s="55"/>
      <c r="J63" s="48"/>
      <c r="K63" s="43"/>
      <c r="M63" s="48"/>
      <c r="N63" s="52"/>
      <c r="P63" s="48"/>
      <c r="Q63" s="52"/>
      <c r="S63" s="48"/>
      <c r="T63" s="43"/>
      <c r="V63" s="48"/>
      <c r="W63" s="43"/>
      <c r="Y63" s="48"/>
      <c r="Z63" s="55"/>
      <c r="AB63" s="48"/>
      <c r="AC63" s="55"/>
      <c r="AE63" s="48"/>
      <c r="AF63" s="55"/>
      <c r="AH63" s="48"/>
      <c r="AI63" s="43"/>
      <c r="AK63" s="48"/>
      <c r="AL63" s="43"/>
      <c r="AN63" s="48"/>
      <c r="AO63" s="43"/>
      <c r="AQ63" s="48"/>
      <c r="AR63" s="43"/>
      <c r="AS63" s="100"/>
      <c r="AT63" s="100"/>
      <c r="AU63" s="43"/>
      <c r="AV63" s="48"/>
      <c r="AW63" s="48"/>
      <c r="BA63" s="108"/>
      <c r="BB63" s="97"/>
      <c r="BC63" s="109"/>
      <c r="BD63" s="43"/>
      <c r="BE63" s="43"/>
    </row>
    <row r="64" spans="5:57" x14ac:dyDescent="0.2">
      <c r="E64" s="97"/>
      <c r="F64" s="48"/>
      <c r="G64" s="48"/>
      <c r="H64" s="55"/>
      <c r="J64" s="48"/>
      <c r="K64" s="43"/>
      <c r="M64" s="48"/>
      <c r="N64" s="52"/>
      <c r="P64" s="48"/>
      <c r="Q64" s="52"/>
      <c r="S64" s="48"/>
      <c r="T64" s="43"/>
      <c r="V64" s="48"/>
      <c r="W64" s="43"/>
      <c r="Y64" s="48"/>
      <c r="Z64" s="55"/>
      <c r="AB64" s="48"/>
      <c r="AC64" s="55"/>
      <c r="AE64" s="48"/>
      <c r="AF64" s="55"/>
      <c r="AH64" s="48"/>
      <c r="AI64" s="43"/>
      <c r="AK64" s="48"/>
      <c r="AL64" s="43"/>
      <c r="AN64" s="48"/>
      <c r="AO64" s="43"/>
      <c r="AQ64" s="48"/>
      <c r="AR64" s="43"/>
      <c r="AS64" s="100"/>
      <c r="AT64" s="100"/>
      <c r="AU64" s="43"/>
      <c r="AV64" s="48"/>
      <c r="AW64" s="48"/>
      <c r="BA64" s="108"/>
      <c r="BB64" s="97"/>
      <c r="BC64" s="109"/>
      <c r="BD64" s="43"/>
      <c r="BE64" s="43"/>
    </row>
    <row r="65" spans="3:57" x14ac:dyDescent="0.2">
      <c r="E65" s="97"/>
      <c r="F65" s="48"/>
      <c r="G65" s="48"/>
      <c r="H65" s="55"/>
      <c r="J65" s="48"/>
      <c r="K65" s="43"/>
      <c r="M65" s="48"/>
      <c r="N65" s="52"/>
      <c r="P65" s="48"/>
      <c r="Q65" s="52"/>
      <c r="S65" s="48"/>
      <c r="T65" s="43"/>
      <c r="V65" s="48"/>
      <c r="W65" s="43"/>
      <c r="Y65" s="48"/>
      <c r="Z65" s="55"/>
      <c r="AB65" s="48"/>
      <c r="AC65" s="55"/>
      <c r="AE65" s="48"/>
      <c r="AF65" s="55"/>
      <c r="AH65" s="48"/>
      <c r="AI65" s="43"/>
      <c r="AK65" s="48"/>
      <c r="AL65" s="43"/>
      <c r="AN65" s="48"/>
      <c r="AO65" s="43"/>
      <c r="AQ65" s="48"/>
      <c r="AR65" s="43"/>
      <c r="AS65" s="100"/>
      <c r="AT65" s="100"/>
      <c r="AU65" s="43"/>
      <c r="AV65" s="48"/>
      <c r="AW65" s="48"/>
      <c r="BA65" s="108"/>
      <c r="BB65" s="97"/>
      <c r="BC65" s="109"/>
      <c r="BD65" s="43"/>
      <c r="BE65" s="43"/>
    </row>
    <row r="66" spans="3:57" x14ac:dyDescent="0.2">
      <c r="C66" s="95"/>
      <c r="D66" s="43"/>
      <c r="E66" s="48"/>
      <c r="F66" s="48"/>
      <c r="G66" s="55"/>
      <c r="J66" s="43"/>
      <c r="M66" s="52"/>
      <c r="S66" s="43"/>
      <c r="Y66" s="55"/>
      <c r="AH66" s="43"/>
      <c r="AR66" s="100"/>
      <c r="AS66" s="100"/>
      <c r="AU66" s="48"/>
      <c r="AV66" s="48"/>
      <c r="AW66" s="48"/>
      <c r="AZ66" s="108"/>
      <c r="BA66" s="97"/>
      <c r="BB66" s="109"/>
      <c r="BC66" s="43"/>
      <c r="BD66" s="43"/>
      <c r="BE66" s="43"/>
    </row>
    <row r="67" spans="3:57" x14ac:dyDescent="0.2">
      <c r="C67" s="95"/>
      <c r="D67" s="43"/>
      <c r="E67" s="48"/>
      <c r="F67" s="48"/>
      <c r="G67" s="55"/>
      <c r="J67" s="43"/>
      <c r="M67" s="52"/>
      <c r="S67" s="43"/>
      <c r="Y67" s="55"/>
      <c r="AH67" s="43"/>
      <c r="AR67" s="100"/>
      <c r="AS67" s="100"/>
      <c r="AU67" s="48"/>
      <c r="AV67" s="48"/>
      <c r="AW67" s="48"/>
      <c r="AZ67" s="108"/>
      <c r="BA67" s="97"/>
      <c r="BB67" s="109"/>
      <c r="BC67" s="43"/>
      <c r="BD67" s="43"/>
      <c r="BE67" s="43"/>
    </row>
    <row r="68" spans="3:57" x14ac:dyDescent="0.2">
      <c r="C68" s="95"/>
      <c r="D68" s="43"/>
      <c r="E68" s="48"/>
      <c r="F68" s="48"/>
      <c r="G68" s="55"/>
      <c r="J68" s="43"/>
      <c r="M68" s="52"/>
      <c r="S68" s="43"/>
      <c r="Y68" s="55"/>
      <c r="AH68" s="43"/>
      <c r="AR68" s="100"/>
      <c r="AS68" s="100"/>
      <c r="AU68" s="48"/>
      <c r="AV68" s="48"/>
      <c r="AW68" s="48"/>
      <c r="AZ68" s="108"/>
      <c r="BA68" s="97"/>
      <c r="BB68" s="109"/>
      <c r="BC68" s="43"/>
      <c r="BD68" s="43"/>
      <c r="BE68" s="43"/>
    </row>
    <row r="69" spans="3:57" x14ac:dyDescent="0.2">
      <c r="C69" s="95"/>
      <c r="D69" s="43"/>
      <c r="E69" s="48"/>
      <c r="F69" s="48"/>
      <c r="G69" s="55"/>
      <c r="J69" s="43"/>
      <c r="M69" s="52"/>
      <c r="S69" s="43"/>
      <c r="Y69" s="55"/>
      <c r="AH69" s="43"/>
      <c r="AR69" s="100"/>
      <c r="AS69" s="100"/>
      <c r="AU69" s="48"/>
      <c r="AV69" s="48"/>
      <c r="AW69" s="48"/>
      <c r="AZ69" s="108"/>
      <c r="BA69" s="97"/>
      <c r="BB69" s="109"/>
      <c r="BC69" s="43"/>
      <c r="BD69" s="43"/>
      <c r="BE69" s="43"/>
    </row>
    <row r="70" spans="3:57" x14ac:dyDescent="0.2">
      <c r="C70" s="95"/>
      <c r="D70" s="43"/>
      <c r="E70" s="48"/>
      <c r="F70" s="48"/>
      <c r="G70" s="55"/>
      <c r="J70" s="43"/>
      <c r="M70" s="52"/>
      <c r="S70" s="43"/>
      <c r="Y70" s="55"/>
      <c r="AH70" s="43"/>
      <c r="AR70" s="100"/>
      <c r="AS70" s="100"/>
      <c r="AU70" s="48"/>
      <c r="AV70" s="48"/>
      <c r="AW70" s="48"/>
      <c r="AZ70" s="108"/>
      <c r="BA70" s="97"/>
      <c r="BB70" s="109"/>
      <c r="BC70" s="43"/>
      <c r="BD70" s="43"/>
      <c r="BE70" s="43"/>
    </row>
    <row r="71" spans="3:57" x14ac:dyDescent="0.2">
      <c r="C71" s="95"/>
      <c r="D71" s="43"/>
      <c r="E71" s="48"/>
      <c r="F71" s="48"/>
      <c r="G71" s="55"/>
      <c r="J71" s="43"/>
      <c r="M71" s="52"/>
      <c r="S71" s="43"/>
      <c r="Y71" s="55"/>
      <c r="AH71" s="43"/>
      <c r="AR71" s="100"/>
      <c r="AS71" s="100"/>
      <c r="AU71" s="48"/>
      <c r="AV71" s="48"/>
      <c r="AW71" s="48"/>
      <c r="AZ71" s="108"/>
      <c r="BA71" s="97"/>
      <c r="BB71" s="109"/>
      <c r="BC71" s="43"/>
      <c r="BD71" s="43"/>
      <c r="BE71" s="43"/>
    </row>
    <row r="72" spans="3:57" x14ac:dyDescent="0.2">
      <c r="C72" s="95"/>
      <c r="D72" s="43"/>
      <c r="E72" s="48"/>
      <c r="F72" s="48"/>
      <c r="G72" s="55"/>
      <c r="J72" s="43"/>
      <c r="M72" s="52"/>
      <c r="S72" s="43"/>
      <c r="Y72" s="55"/>
      <c r="AH72" s="43"/>
      <c r="AR72" s="100"/>
      <c r="AS72" s="100"/>
      <c r="AU72" s="48"/>
      <c r="AV72" s="48"/>
      <c r="AW72" s="48"/>
      <c r="AZ72" s="108"/>
      <c r="BA72" s="97"/>
      <c r="BB72" s="109"/>
      <c r="BC72" s="43"/>
      <c r="BD72" s="43"/>
      <c r="BE72" s="43"/>
    </row>
    <row r="73" spans="3:57" x14ac:dyDescent="0.2">
      <c r="C73" s="95"/>
      <c r="D73" s="43"/>
      <c r="E73" s="48"/>
      <c r="F73" s="48"/>
      <c r="G73" s="55"/>
      <c r="J73" s="43"/>
      <c r="M73" s="52"/>
      <c r="S73" s="43"/>
      <c r="Y73" s="55"/>
      <c r="AH73" s="43"/>
      <c r="AR73" s="100"/>
      <c r="AS73" s="100"/>
      <c r="AU73" s="48"/>
      <c r="AV73" s="48"/>
      <c r="AW73" s="48"/>
      <c r="AZ73" s="108"/>
      <c r="BA73" s="97"/>
      <c r="BB73" s="109"/>
      <c r="BC73" s="43"/>
      <c r="BD73" s="43"/>
      <c r="BE73" s="43"/>
    </row>
    <row r="74" spans="3:57" x14ac:dyDescent="0.2">
      <c r="C74" s="95"/>
      <c r="D74" s="43"/>
      <c r="E74" s="48"/>
      <c r="F74" s="48"/>
      <c r="G74" s="55"/>
      <c r="J74" s="43"/>
      <c r="M74" s="52"/>
      <c r="S74" s="43"/>
      <c r="Y74" s="55"/>
      <c r="AH74" s="43"/>
      <c r="AR74" s="100"/>
      <c r="AS74" s="100"/>
      <c r="AU74" s="48"/>
      <c r="AV74" s="48"/>
      <c r="AW74" s="48"/>
      <c r="AZ74" s="108"/>
      <c r="BA74" s="97"/>
      <c r="BB74" s="109"/>
      <c r="BC74" s="43"/>
      <c r="BD74" s="43"/>
      <c r="BE74" s="43"/>
    </row>
    <row r="75" spans="3:57" x14ac:dyDescent="0.2">
      <c r="C75" s="95"/>
      <c r="D75" s="43"/>
      <c r="E75" s="48"/>
      <c r="F75" s="48"/>
      <c r="G75" s="55"/>
      <c r="J75" s="43"/>
      <c r="M75" s="52"/>
      <c r="S75" s="43"/>
      <c r="Y75" s="55"/>
      <c r="AH75" s="43"/>
      <c r="AR75" s="100"/>
      <c r="AS75" s="100"/>
      <c r="AU75" s="48"/>
      <c r="AV75" s="48"/>
      <c r="AW75" s="48"/>
      <c r="AZ75" s="108"/>
      <c r="BA75" s="97"/>
      <c r="BB75" s="109"/>
      <c r="BC75" s="43"/>
      <c r="BD75" s="43"/>
      <c r="BE75" s="43"/>
    </row>
    <row r="76" spans="3:57" x14ac:dyDescent="0.2">
      <c r="C76" s="95"/>
      <c r="D76" s="43"/>
      <c r="E76" s="48"/>
      <c r="F76" s="48"/>
      <c r="G76" s="55"/>
      <c r="J76" s="43"/>
      <c r="M76" s="52"/>
      <c r="S76" s="43"/>
      <c r="Y76" s="55"/>
      <c r="AH76" s="43"/>
      <c r="AR76" s="100"/>
      <c r="AS76" s="100"/>
      <c r="AU76" s="48"/>
      <c r="AV76" s="48"/>
      <c r="AW76" s="48"/>
      <c r="AZ76" s="108"/>
      <c r="BA76" s="97"/>
      <c r="BB76" s="109"/>
      <c r="BC76" s="43"/>
      <c r="BD76" s="43"/>
      <c r="BE76" s="43"/>
    </row>
    <row r="77" spans="3:57" x14ac:dyDescent="0.2">
      <c r="C77" s="95"/>
      <c r="D77" s="43"/>
      <c r="E77" s="48"/>
      <c r="F77" s="48"/>
      <c r="G77" s="55"/>
      <c r="J77" s="43"/>
      <c r="M77" s="52"/>
      <c r="S77" s="43"/>
      <c r="Y77" s="55"/>
      <c r="AH77" s="43"/>
      <c r="AR77" s="100"/>
      <c r="AS77" s="100"/>
      <c r="AU77" s="48"/>
      <c r="AV77" s="48"/>
      <c r="AW77" s="48"/>
      <c r="AZ77" s="108"/>
      <c r="BA77" s="97"/>
      <c r="BB77" s="109"/>
      <c r="BC77" s="43"/>
      <c r="BD77" s="43"/>
      <c r="BE77" s="43"/>
    </row>
    <row r="78" spans="3:57" x14ac:dyDescent="0.2">
      <c r="C78" s="95"/>
      <c r="D78" s="43"/>
      <c r="E78" s="48"/>
      <c r="F78" s="48"/>
      <c r="G78" s="55"/>
      <c r="J78" s="43"/>
      <c r="M78" s="52"/>
      <c r="S78" s="43"/>
      <c r="Y78" s="55"/>
      <c r="AH78" s="43"/>
      <c r="AR78" s="100"/>
      <c r="AS78" s="100"/>
      <c r="AU78" s="48"/>
      <c r="AV78" s="48"/>
      <c r="AW78" s="48"/>
      <c r="AZ78" s="108"/>
      <c r="BA78" s="97"/>
      <c r="BB78" s="109"/>
      <c r="BC78" s="43"/>
      <c r="BD78" s="43"/>
      <c r="BE78" s="43"/>
    </row>
    <row r="79" spans="3:57" x14ac:dyDescent="0.2">
      <c r="C79" s="95"/>
      <c r="D79" s="43"/>
      <c r="E79" s="48"/>
      <c r="F79" s="48"/>
      <c r="G79" s="55"/>
      <c r="J79" s="43"/>
      <c r="M79" s="52"/>
      <c r="S79" s="43"/>
      <c r="Y79" s="55"/>
      <c r="AH79" s="43"/>
      <c r="AR79" s="100"/>
      <c r="AS79" s="100"/>
      <c r="AU79" s="48"/>
      <c r="AV79" s="48"/>
      <c r="AW79" s="48"/>
      <c r="AZ79" s="108"/>
      <c r="BA79" s="97"/>
      <c r="BB79" s="109"/>
      <c r="BC79" s="43"/>
      <c r="BD79" s="43"/>
      <c r="BE79" s="43"/>
    </row>
    <row r="80" spans="3:57" x14ac:dyDescent="0.2">
      <c r="C80" s="95"/>
      <c r="D80" s="43"/>
      <c r="E80" s="48"/>
      <c r="F80" s="48"/>
      <c r="G80" s="55"/>
      <c r="J80" s="43"/>
      <c r="M80" s="52"/>
      <c r="S80" s="43"/>
      <c r="Y80" s="55"/>
      <c r="AH80" s="43"/>
      <c r="AR80" s="100"/>
      <c r="AS80" s="100"/>
      <c r="AU80" s="48"/>
      <c r="AV80" s="48"/>
      <c r="AW80" s="48"/>
      <c r="AZ80" s="108"/>
      <c r="BA80" s="97"/>
      <c r="BB80" s="109"/>
      <c r="BC80" s="43"/>
      <c r="BD80" s="43"/>
      <c r="BE80" s="43"/>
    </row>
    <row r="81" spans="3:57" x14ac:dyDescent="0.2">
      <c r="C81" s="95"/>
      <c r="D81" s="43"/>
      <c r="E81" s="48"/>
      <c r="F81" s="48"/>
      <c r="G81" s="55"/>
      <c r="J81" s="43"/>
      <c r="M81" s="52"/>
      <c r="S81" s="43"/>
      <c r="Y81" s="55"/>
      <c r="AH81" s="43"/>
      <c r="AR81" s="100"/>
      <c r="AS81" s="100"/>
      <c r="AU81" s="48"/>
      <c r="AV81" s="48"/>
      <c r="AW81" s="48"/>
      <c r="AZ81" s="108"/>
      <c r="BA81" s="97"/>
      <c r="BB81" s="109"/>
      <c r="BC81" s="43"/>
      <c r="BD81" s="43"/>
      <c r="BE81" s="43"/>
    </row>
    <row r="82" spans="3:57" x14ac:dyDescent="0.2">
      <c r="C82" s="95"/>
      <c r="D82" s="43"/>
      <c r="E82" s="48"/>
      <c r="F82" s="48"/>
      <c r="G82" s="55"/>
      <c r="J82" s="43"/>
      <c r="M82" s="52"/>
      <c r="S82" s="43"/>
      <c r="Y82" s="55"/>
      <c r="AH82" s="43"/>
      <c r="AR82" s="100"/>
      <c r="AS82" s="100"/>
      <c r="AU82" s="48"/>
      <c r="AV82" s="48"/>
      <c r="AW82" s="48"/>
      <c r="AZ82" s="108"/>
      <c r="BA82" s="97"/>
      <c r="BB82" s="109"/>
      <c r="BC82" s="43"/>
      <c r="BD82" s="43"/>
      <c r="BE82" s="43"/>
    </row>
    <row r="83" spans="3:57" x14ac:dyDescent="0.2">
      <c r="C83" s="95"/>
      <c r="D83" s="43"/>
      <c r="E83" s="48"/>
      <c r="F83" s="48"/>
      <c r="G83" s="55"/>
      <c r="J83" s="43"/>
      <c r="M83" s="52"/>
      <c r="S83" s="43"/>
      <c r="Y83" s="55"/>
      <c r="AH83" s="43"/>
      <c r="AR83" s="100"/>
      <c r="AS83" s="100"/>
      <c r="AU83" s="48"/>
      <c r="AV83" s="48"/>
      <c r="AW83" s="48"/>
      <c r="AZ83" s="108"/>
      <c r="BA83" s="97"/>
      <c r="BB83" s="109"/>
      <c r="BC83" s="43"/>
      <c r="BD83" s="43"/>
      <c r="BE83" s="43"/>
    </row>
    <row r="84" spans="3:57" x14ac:dyDescent="0.2">
      <c r="C84" s="95"/>
      <c r="D84" s="43"/>
      <c r="E84" s="48"/>
      <c r="F84" s="48"/>
      <c r="G84" s="55"/>
      <c r="J84" s="43"/>
      <c r="M84" s="52"/>
      <c r="S84" s="43"/>
      <c r="Y84" s="55"/>
      <c r="AH84" s="43"/>
      <c r="AR84" s="100"/>
      <c r="AS84" s="100"/>
      <c r="AU84" s="48"/>
      <c r="AV84" s="48"/>
      <c r="AW84" s="48"/>
      <c r="AZ84" s="108"/>
      <c r="BA84" s="97"/>
      <c r="BB84" s="109"/>
      <c r="BC84" s="43"/>
      <c r="BD84" s="43"/>
      <c r="BE84" s="43"/>
    </row>
    <row r="85" spans="3:57" x14ac:dyDescent="0.2">
      <c r="C85" s="95"/>
      <c r="D85" s="43"/>
      <c r="E85" s="48"/>
      <c r="F85" s="48"/>
      <c r="G85" s="55"/>
      <c r="J85" s="43"/>
      <c r="M85" s="52"/>
      <c r="S85" s="43"/>
      <c r="Y85" s="55"/>
      <c r="AH85" s="43"/>
      <c r="AR85" s="100"/>
      <c r="AS85" s="100"/>
      <c r="AU85" s="48"/>
      <c r="AV85" s="48"/>
      <c r="AW85" s="48"/>
      <c r="AZ85" s="108"/>
      <c r="BA85" s="97"/>
      <c r="BB85" s="109"/>
      <c r="BC85" s="43"/>
      <c r="BD85" s="43"/>
      <c r="BE85" s="43"/>
    </row>
    <row r="86" spans="3:57" x14ac:dyDescent="0.2">
      <c r="C86" s="95"/>
      <c r="D86" s="43"/>
      <c r="E86" s="48"/>
      <c r="F86" s="48"/>
      <c r="G86" s="55"/>
      <c r="J86" s="43"/>
      <c r="M86" s="52"/>
      <c r="S86" s="43"/>
      <c r="Y86" s="55"/>
      <c r="AH86" s="43"/>
      <c r="AR86" s="100"/>
      <c r="AS86" s="100"/>
      <c r="AU86" s="48"/>
      <c r="AV86" s="48"/>
      <c r="AW86" s="48"/>
      <c r="AZ86" s="108"/>
      <c r="BA86" s="97"/>
      <c r="BB86" s="109"/>
      <c r="BC86" s="43"/>
      <c r="BD86" s="43"/>
      <c r="BE86" s="43"/>
    </row>
    <row r="87" spans="3:57" x14ac:dyDescent="0.2">
      <c r="C87" s="95"/>
      <c r="D87" s="43"/>
      <c r="E87" s="48"/>
      <c r="F87" s="48"/>
      <c r="G87" s="55"/>
      <c r="J87" s="43"/>
      <c r="M87" s="52"/>
      <c r="S87" s="43"/>
      <c r="Y87" s="55"/>
      <c r="AH87" s="43"/>
      <c r="AR87" s="100"/>
      <c r="AS87" s="100"/>
      <c r="AU87" s="48"/>
      <c r="AV87" s="48"/>
      <c r="AW87" s="48"/>
      <c r="AZ87" s="108"/>
      <c r="BA87" s="97"/>
      <c r="BB87" s="109"/>
      <c r="BC87" s="43"/>
      <c r="BD87" s="43"/>
      <c r="BE87" s="43"/>
    </row>
    <row r="88" spans="3:57" x14ac:dyDescent="0.2">
      <c r="C88" s="95"/>
      <c r="D88" s="43"/>
      <c r="E88" s="48"/>
      <c r="F88" s="48"/>
      <c r="G88" s="55"/>
      <c r="J88" s="43"/>
      <c r="M88" s="52"/>
      <c r="S88" s="43"/>
      <c r="Y88" s="55"/>
      <c r="AH88" s="43"/>
      <c r="AR88" s="100"/>
      <c r="AS88" s="100"/>
      <c r="AU88" s="48"/>
      <c r="AV88" s="48"/>
      <c r="AW88" s="48"/>
      <c r="AZ88" s="108"/>
      <c r="BA88" s="97"/>
      <c r="BB88" s="109"/>
      <c r="BC88" s="43"/>
      <c r="BD88" s="43"/>
      <c r="BE88" s="43"/>
    </row>
    <row r="89" spans="3:57" x14ac:dyDescent="0.2">
      <c r="C89" s="95"/>
      <c r="D89" s="43"/>
      <c r="E89" s="48"/>
      <c r="F89" s="48"/>
      <c r="G89" s="55"/>
      <c r="J89" s="43"/>
      <c r="M89" s="52"/>
      <c r="S89" s="43"/>
      <c r="Y89" s="55"/>
      <c r="AH89" s="43"/>
      <c r="AR89" s="100"/>
      <c r="AS89" s="100"/>
      <c r="AU89" s="48"/>
      <c r="AV89" s="48"/>
      <c r="AW89" s="48"/>
      <c r="AZ89" s="108"/>
      <c r="BA89" s="97"/>
      <c r="BB89" s="109"/>
      <c r="BC89" s="43"/>
      <c r="BD89" s="43"/>
      <c r="BE89" s="43"/>
    </row>
    <row r="90" spans="3:57" x14ac:dyDescent="0.2">
      <c r="C90" s="95"/>
      <c r="D90" s="43"/>
      <c r="E90" s="48"/>
      <c r="F90" s="48"/>
      <c r="G90" s="55"/>
      <c r="J90" s="43"/>
      <c r="M90" s="52"/>
      <c r="S90" s="43"/>
      <c r="Y90" s="55"/>
      <c r="AH90" s="43"/>
      <c r="AR90" s="100"/>
      <c r="AS90" s="100"/>
      <c r="AU90" s="48"/>
      <c r="AV90" s="48"/>
      <c r="AW90" s="48"/>
      <c r="AZ90" s="108"/>
      <c r="BA90" s="97"/>
      <c r="BB90" s="109"/>
      <c r="BC90" s="43"/>
      <c r="BD90" s="43"/>
      <c r="BE90" s="43"/>
    </row>
    <row r="91" spans="3:57" x14ac:dyDescent="0.2">
      <c r="C91" s="95"/>
      <c r="D91" s="43"/>
      <c r="E91" s="48"/>
      <c r="F91" s="48"/>
      <c r="G91" s="55"/>
      <c r="J91" s="43"/>
      <c r="M91" s="52"/>
      <c r="S91" s="43"/>
      <c r="Y91" s="55"/>
      <c r="AH91" s="43"/>
      <c r="AR91" s="100"/>
      <c r="AS91" s="100"/>
      <c r="AU91" s="48"/>
      <c r="AV91" s="48"/>
      <c r="AW91" s="48"/>
      <c r="AZ91" s="108"/>
      <c r="BA91" s="97"/>
      <c r="BB91" s="109"/>
      <c r="BC91" s="43"/>
      <c r="BD91" s="43"/>
      <c r="BE91" s="43"/>
    </row>
    <row r="92" spans="3:57" x14ac:dyDescent="0.2">
      <c r="C92" s="95"/>
      <c r="D92" s="43"/>
      <c r="E92" s="48"/>
      <c r="F92" s="48"/>
      <c r="G92" s="55"/>
      <c r="J92" s="43"/>
      <c r="M92" s="52"/>
      <c r="S92" s="43"/>
      <c r="Y92" s="55"/>
      <c r="AH92" s="43"/>
      <c r="AR92" s="100"/>
      <c r="AS92" s="100"/>
      <c r="AU92" s="48"/>
      <c r="AV92" s="48"/>
      <c r="AW92" s="48"/>
      <c r="AZ92" s="108"/>
      <c r="BA92" s="97"/>
      <c r="BB92" s="109"/>
      <c r="BC92" s="43"/>
      <c r="BD92" s="43"/>
      <c r="BE92" s="43"/>
    </row>
    <row r="93" spans="3:57" x14ac:dyDescent="0.2">
      <c r="C93" s="95"/>
      <c r="D93" s="43"/>
      <c r="E93" s="48"/>
      <c r="F93" s="48"/>
      <c r="G93" s="55"/>
      <c r="J93" s="43"/>
      <c r="M93" s="52"/>
      <c r="S93" s="43"/>
      <c r="Y93" s="55"/>
      <c r="AH93" s="43"/>
      <c r="AR93" s="100"/>
      <c r="AS93" s="100"/>
      <c r="AU93" s="48"/>
      <c r="AV93" s="48"/>
      <c r="AW93" s="48"/>
      <c r="AZ93" s="108"/>
      <c r="BA93" s="97"/>
      <c r="BB93" s="109"/>
      <c r="BC93" s="43"/>
      <c r="BD93" s="43"/>
      <c r="BE93" s="43"/>
    </row>
    <row r="94" spans="3:57" x14ac:dyDescent="0.2">
      <c r="C94" s="95"/>
      <c r="D94" s="43"/>
      <c r="E94" s="48"/>
      <c r="F94" s="48"/>
      <c r="G94" s="55"/>
      <c r="J94" s="43"/>
      <c r="M94" s="52"/>
      <c r="S94" s="43"/>
      <c r="Y94" s="55"/>
      <c r="AH94" s="43"/>
      <c r="AR94" s="100"/>
      <c r="AS94" s="100"/>
      <c r="AU94" s="48"/>
      <c r="AV94" s="48"/>
      <c r="AW94" s="48"/>
      <c r="AZ94" s="108"/>
      <c r="BA94" s="97"/>
      <c r="BB94" s="109"/>
      <c r="BC94" s="43"/>
      <c r="BD94" s="43"/>
      <c r="BE94" s="43"/>
    </row>
    <row r="95" spans="3:57" x14ac:dyDescent="0.2">
      <c r="C95" s="95"/>
      <c r="D95" s="43"/>
      <c r="E95" s="48"/>
      <c r="F95" s="48"/>
      <c r="G95" s="55"/>
      <c r="J95" s="43"/>
      <c r="M95" s="52"/>
      <c r="S95" s="43"/>
      <c r="Y95" s="55"/>
      <c r="AH95" s="43"/>
      <c r="AR95" s="100"/>
      <c r="AS95" s="100"/>
      <c r="AU95" s="48"/>
      <c r="AV95" s="48"/>
      <c r="AW95" s="48"/>
      <c r="AZ95" s="108"/>
      <c r="BA95" s="97"/>
      <c r="BB95" s="109"/>
      <c r="BC95" s="43"/>
      <c r="BD95" s="43"/>
      <c r="BE95" s="43"/>
    </row>
    <row r="96" spans="3:57" x14ac:dyDescent="0.2">
      <c r="C96" s="95"/>
      <c r="D96" s="43"/>
      <c r="F96" s="97"/>
      <c r="G96" s="48"/>
      <c r="I96" s="55"/>
      <c r="J96" s="48"/>
      <c r="L96" s="43"/>
      <c r="M96" s="48"/>
      <c r="O96" s="52"/>
      <c r="P96" s="48"/>
      <c r="R96" s="52"/>
      <c r="S96" s="48"/>
      <c r="U96" s="43"/>
      <c r="V96" s="48"/>
      <c r="X96" s="43"/>
      <c r="Y96" s="48"/>
      <c r="AA96" s="55"/>
      <c r="AB96" s="48"/>
      <c r="AD96" s="55"/>
      <c r="AE96" s="48"/>
      <c r="AG96" s="55"/>
      <c r="AH96" s="48"/>
      <c r="AJ96" s="43"/>
      <c r="AK96" s="48"/>
      <c r="AM96" s="43"/>
      <c r="AN96" s="48"/>
      <c r="AP96" s="43"/>
      <c r="AQ96" s="48"/>
      <c r="AS96" s="43"/>
      <c r="AT96" s="100"/>
      <c r="AV96" s="43"/>
      <c r="AW96" s="48"/>
      <c r="BB96" s="108"/>
      <c r="BC96" s="97"/>
      <c r="BD96" s="109"/>
      <c r="BE96" s="43"/>
    </row>
    <row r="97" spans="3:57" x14ac:dyDescent="0.2">
      <c r="C97" s="95"/>
      <c r="D97" s="43"/>
      <c r="F97" s="97"/>
      <c r="G97" s="48"/>
      <c r="I97" s="55"/>
      <c r="J97" s="48"/>
      <c r="L97" s="43"/>
      <c r="M97" s="48"/>
      <c r="O97" s="52"/>
      <c r="P97" s="48"/>
      <c r="R97" s="52"/>
      <c r="S97" s="48"/>
      <c r="U97" s="43"/>
      <c r="V97" s="48"/>
      <c r="X97" s="43"/>
      <c r="Y97" s="48"/>
      <c r="AA97" s="55"/>
      <c r="AB97" s="48"/>
      <c r="AD97" s="55"/>
      <c r="AE97" s="48"/>
      <c r="AG97" s="55"/>
      <c r="AH97" s="48"/>
      <c r="AJ97" s="43"/>
      <c r="AK97" s="48"/>
      <c r="AM97" s="43"/>
      <c r="AN97" s="48"/>
      <c r="AP97" s="43"/>
      <c r="AQ97" s="48"/>
      <c r="AS97" s="43"/>
      <c r="AT97" s="100"/>
      <c r="AV97" s="43"/>
      <c r="AW97" s="48"/>
      <c r="BB97" s="108"/>
      <c r="BC97" s="97"/>
      <c r="BD97" s="109"/>
      <c r="BE97" s="43"/>
    </row>
    <row r="98" spans="3:57" x14ac:dyDescent="0.2">
      <c r="C98" s="95"/>
      <c r="D98" s="43"/>
      <c r="F98" s="97"/>
      <c r="G98" s="48"/>
      <c r="I98" s="55"/>
      <c r="J98" s="48"/>
      <c r="L98" s="43"/>
      <c r="M98" s="48"/>
      <c r="O98" s="52"/>
      <c r="P98" s="48"/>
      <c r="R98" s="52"/>
      <c r="S98" s="48"/>
      <c r="U98" s="43"/>
      <c r="V98" s="48"/>
      <c r="X98" s="43"/>
      <c r="Y98" s="48"/>
      <c r="AA98" s="55"/>
      <c r="AB98" s="48"/>
      <c r="AD98" s="55"/>
      <c r="AE98" s="48"/>
      <c r="AG98" s="55"/>
      <c r="AH98" s="48"/>
      <c r="AJ98" s="43"/>
      <c r="AK98" s="48"/>
      <c r="AM98" s="43"/>
      <c r="AN98" s="48"/>
      <c r="AP98" s="43"/>
      <c r="AQ98" s="48"/>
      <c r="AS98" s="43"/>
      <c r="AT98" s="100"/>
      <c r="AV98" s="43"/>
      <c r="AW98" s="48"/>
      <c r="BB98" s="108"/>
      <c r="BC98" s="97"/>
      <c r="BD98" s="109"/>
      <c r="BE98" s="43"/>
    </row>
    <row r="99" spans="3:57" x14ac:dyDescent="0.2">
      <c r="C99" s="95"/>
      <c r="D99" s="43"/>
      <c r="F99" s="97"/>
      <c r="G99" s="48"/>
      <c r="I99" s="55"/>
      <c r="J99" s="48"/>
      <c r="L99" s="43"/>
      <c r="M99" s="48"/>
      <c r="O99" s="52"/>
      <c r="P99" s="48"/>
      <c r="R99" s="52"/>
      <c r="S99" s="48"/>
      <c r="U99" s="43"/>
      <c r="V99" s="48"/>
      <c r="X99" s="43"/>
      <c r="Y99" s="48"/>
      <c r="AA99" s="55"/>
      <c r="AB99" s="48"/>
      <c r="AD99" s="55"/>
      <c r="AE99" s="48"/>
      <c r="AG99" s="55"/>
      <c r="AH99" s="48"/>
      <c r="AJ99" s="43"/>
      <c r="AK99" s="48"/>
      <c r="AM99" s="43"/>
      <c r="AN99" s="48"/>
      <c r="AP99" s="43"/>
      <c r="AQ99" s="48"/>
      <c r="AS99" s="43"/>
      <c r="AT99" s="100"/>
      <c r="AV99" s="43"/>
      <c r="AW99" s="48"/>
      <c r="BB99" s="108"/>
      <c r="BC99" s="97"/>
      <c r="BD99" s="109"/>
      <c r="BE99" s="43"/>
    </row>
    <row r="100" spans="3:57" x14ac:dyDescent="0.2">
      <c r="C100" s="95"/>
      <c r="D100" s="43"/>
      <c r="F100" s="97"/>
      <c r="G100" s="48"/>
      <c r="I100" s="55"/>
      <c r="J100" s="48"/>
      <c r="L100" s="43"/>
      <c r="M100" s="48"/>
      <c r="O100" s="52"/>
      <c r="P100" s="48"/>
      <c r="R100" s="52"/>
      <c r="S100" s="48"/>
      <c r="U100" s="43"/>
      <c r="V100" s="48"/>
      <c r="X100" s="43"/>
      <c r="Y100" s="48"/>
      <c r="AA100" s="55"/>
      <c r="AB100" s="48"/>
      <c r="AD100" s="55"/>
      <c r="AE100" s="48"/>
      <c r="AG100" s="55"/>
      <c r="AH100" s="48"/>
      <c r="AJ100" s="43"/>
      <c r="AK100" s="48"/>
      <c r="AM100" s="43"/>
      <c r="AN100" s="48"/>
      <c r="AP100" s="43"/>
      <c r="AQ100" s="48"/>
      <c r="AS100" s="43"/>
      <c r="AT100" s="100"/>
      <c r="AV100" s="43"/>
      <c r="AW100" s="48"/>
      <c r="BB100" s="108"/>
      <c r="BC100" s="97"/>
      <c r="BD100" s="109"/>
      <c r="BE100" s="43"/>
    </row>
    <row r="101" spans="3:57" x14ac:dyDescent="0.2">
      <c r="C101" s="95"/>
      <c r="D101" s="43"/>
      <c r="F101" s="97"/>
      <c r="G101" s="48"/>
      <c r="I101" s="55"/>
      <c r="J101" s="48"/>
      <c r="L101" s="43"/>
      <c r="M101" s="48"/>
      <c r="O101" s="52"/>
      <c r="P101" s="48"/>
      <c r="R101" s="52"/>
      <c r="S101" s="48"/>
      <c r="U101" s="43"/>
      <c r="V101" s="48"/>
      <c r="X101" s="43"/>
      <c r="Y101" s="48"/>
      <c r="AA101" s="55"/>
      <c r="AB101" s="48"/>
      <c r="AD101" s="55"/>
      <c r="AE101" s="48"/>
      <c r="AG101" s="55"/>
      <c r="AH101" s="48"/>
      <c r="AJ101" s="43"/>
      <c r="AK101" s="48"/>
      <c r="AM101" s="43"/>
      <c r="AN101" s="48"/>
      <c r="AP101" s="43"/>
      <c r="AQ101" s="48"/>
      <c r="AS101" s="43"/>
      <c r="AT101" s="100"/>
      <c r="AV101" s="43"/>
      <c r="AW101" s="48"/>
      <c r="BB101" s="108"/>
      <c r="BC101" s="97"/>
      <c r="BD101" s="109"/>
      <c r="BE101" s="43"/>
    </row>
    <row r="102" spans="3:57" x14ac:dyDescent="0.2">
      <c r="C102" s="95"/>
      <c r="D102" s="43"/>
      <c r="F102" s="97"/>
      <c r="G102" s="48"/>
      <c r="I102" s="55"/>
      <c r="J102" s="48"/>
      <c r="L102" s="43"/>
      <c r="M102" s="48"/>
      <c r="O102" s="52"/>
      <c r="P102" s="48"/>
      <c r="R102" s="52"/>
      <c r="S102" s="48"/>
      <c r="U102" s="43"/>
      <c r="V102" s="48"/>
      <c r="X102" s="43"/>
      <c r="Y102" s="48"/>
      <c r="AA102" s="55"/>
      <c r="AB102" s="48"/>
      <c r="AD102" s="55"/>
      <c r="AE102" s="48"/>
      <c r="AG102" s="55"/>
      <c r="AH102" s="48"/>
      <c r="AJ102" s="43"/>
      <c r="AK102" s="48"/>
      <c r="AM102" s="43"/>
      <c r="AN102" s="48"/>
      <c r="AP102" s="43"/>
      <c r="AQ102" s="48"/>
      <c r="AS102" s="43"/>
      <c r="AT102" s="100"/>
      <c r="AV102" s="43"/>
      <c r="AW102" s="48"/>
      <c r="BB102" s="108"/>
      <c r="BC102" s="97"/>
      <c r="BD102" s="109"/>
      <c r="BE102" s="43"/>
    </row>
    <row r="103" spans="3:57" x14ac:dyDescent="0.2">
      <c r="C103" s="95"/>
      <c r="D103" s="43"/>
      <c r="F103" s="97"/>
      <c r="G103" s="48"/>
      <c r="I103" s="55"/>
      <c r="J103" s="48"/>
      <c r="L103" s="43"/>
      <c r="M103" s="48"/>
      <c r="O103" s="52"/>
      <c r="P103" s="48"/>
      <c r="R103" s="52"/>
      <c r="S103" s="48"/>
      <c r="U103" s="43"/>
      <c r="V103" s="48"/>
      <c r="X103" s="43"/>
      <c r="Y103" s="48"/>
      <c r="AA103" s="55"/>
      <c r="AB103" s="48"/>
      <c r="AD103" s="55"/>
      <c r="AE103" s="48"/>
      <c r="AG103" s="55"/>
      <c r="AH103" s="48"/>
      <c r="AJ103" s="43"/>
      <c r="AK103" s="48"/>
      <c r="AM103" s="43"/>
      <c r="AN103" s="48"/>
      <c r="AP103" s="43"/>
      <c r="AQ103" s="48"/>
      <c r="AS103" s="43"/>
      <c r="AT103" s="100"/>
      <c r="AV103" s="43"/>
      <c r="AW103" s="48"/>
      <c r="BB103" s="108"/>
      <c r="BC103" s="97"/>
      <c r="BD103" s="109"/>
      <c r="BE103" s="43"/>
    </row>
  </sheetData>
  <mergeCells count="14">
    <mergeCell ref="AR5:AT5"/>
    <mergeCell ref="AU5:AW5"/>
    <mergeCell ref="Z5:AB5"/>
    <mergeCell ref="AC5:AE5"/>
    <mergeCell ref="AF5:AH5"/>
    <mergeCell ref="AI5:AK5"/>
    <mergeCell ref="AL5:AN5"/>
    <mergeCell ref="AO5:AQ5"/>
    <mergeCell ref="H5:J5"/>
    <mergeCell ref="K5:M5"/>
    <mergeCell ref="N5:P5"/>
    <mergeCell ref="Q5:S5"/>
    <mergeCell ref="T5:V5"/>
    <mergeCell ref="W5:Y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8"/>
  <sheetViews>
    <sheetView zoomScaleNormal="100" workbookViewId="0">
      <selection activeCell="B9" sqref="B9"/>
    </sheetView>
  </sheetViews>
  <sheetFormatPr defaultColWidth="8.83203125" defaultRowHeight="12.75" x14ac:dyDescent="0.2"/>
  <cols>
    <col min="1" max="1" width="8.83203125" style="4"/>
    <col min="2" max="2" width="7.1640625" style="4" bestFit="1" customWidth="1"/>
    <col min="3" max="3" width="17.83203125" style="4" customWidth="1"/>
    <col min="4" max="4" width="12.1640625" style="4" bestFit="1" customWidth="1"/>
    <col min="5" max="5" width="15.33203125" style="4" bestFit="1" customWidth="1"/>
    <col min="6" max="6" width="18.83203125" style="4" bestFit="1" customWidth="1"/>
    <col min="7" max="7" width="17.6640625" style="4" customWidth="1"/>
    <col min="8" max="8" width="19.33203125" style="4" bestFit="1" customWidth="1"/>
    <col min="9" max="16384" width="8.83203125" style="4"/>
  </cols>
  <sheetData>
    <row r="1" spans="1:8" x14ac:dyDescent="0.2">
      <c r="A1" s="42" t="s">
        <v>0</v>
      </c>
      <c r="B1" s="42"/>
      <c r="C1" s="42"/>
      <c r="D1" s="42"/>
      <c r="E1" s="42"/>
      <c r="F1" s="42"/>
      <c r="G1" s="42"/>
      <c r="H1" s="42"/>
    </row>
    <row r="2" spans="1:8" x14ac:dyDescent="0.2">
      <c r="A2" s="42" t="s">
        <v>51</v>
      </c>
      <c r="B2" s="42"/>
      <c r="C2" s="42"/>
      <c r="D2" s="42"/>
      <c r="E2" s="42"/>
      <c r="F2" s="42"/>
      <c r="G2" s="42"/>
      <c r="H2" s="42"/>
    </row>
    <row r="3" spans="1:8" x14ac:dyDescent="0.2">
      <c r="A3" s="42" t="s">
        <v>13</v>
      </c>
      <c r="B3" s="42"/>
      <c r="C3" s="42"/>
      <c r="D3" s="42"/>
      <c r="E3" s="42"/>
      <c r="F3" s="42"/>
      <c r="G3" s="42"/>
      <c r="H3" s="42"/>
    </row>
    <row r="4" spans="1:8" x14ac:dyDescent="0.2">
      <c r="A4" s="42" t="s">
        <v>14</v>
      </c>
      <c r="B4" s="42"/>
      <c r="C4" s="42"/>
      <c r="D4" s="42"/>
      <c r="E4" s="42"/>
      <c r="F4" s="42"/>
      <c r="G4" s="42"/>
      <c r="H4" s="42"/>
    </row>
    <row r="5" spans="1:8" x14ac:dyDescent="0.2">
      <c r="A5" s="5"/>
      <c r="B5" s="5"/>
      <c r="C5" s="5"/>
      <c r="D5" s="5"/>
      <c r="E5" s="5"/>
      <c r="F5" s="5"/>
      <c r="G5" s="5"/>
      <c r="H5" s="5"/>
    </row>
    <row r="6" spans="1:8" x14ac:dyDescent="0.2">
      <c r="A6" s="6"/>
      <c r="B6" s="6"/>
      <c r="C6" s="6" t="s">
        <v>15</v>
      </c>
      <c r="D6" s="6"/>
      <c r="E6" s="6" t="s">
        <v>16</v>
      </c>
      <c r="F6" s="6" t="s">
        <v>30</v>
      </c>
      <c r="G6" s="6" t="s">
        <v>17</v>
      </c>
      <c r="H6" s="6"/>
    </row>
    <row r="7" spans="1:8" x14ac:dyDescent="0.2">
      <c r="A7" s="6"/>
      <c r="B7" s="6"/>
      <c r="C7" s="6" t="s">
        <v>18</v>
      </c>
      <c r="D7" s="6" t="s">
        <v>19</v>
      </c>
      <c r="E7" s="6" t="s">
        <v>3</v>
      </c>
      <c r="F7" s="6" t="s">
        <v>31</v>
      </c>
      <c r="G7" s="6" t="s">
        <v>32</v>
      </c>
      <c r="H7" s="6" t="s">
        <v>20</v>
      </c>
    </row>
    <row r="8" spans="1:8" x14ac:dyDescent="0.2">
      <c r="A8" s="6"/>
      <c r="B8" s="6"/>
      <c r="C8" s="6" t="s">
        <v>21</v>
      </c>
      <c r="D8" s="6" t="s">
        <v>21</v>
      </c>
      <c r="E8" s="6" t="s">
        <v>18</v>
      </c>
      <c r="F8" s="6" t="s">
        <v>10</v>
      </c>
      <c r="G8" s="6" t="s">
        <v>22</v>
      </c>
      <c r="H8" s="6" t="s">
        <v>23</v>
      </c>
    </row>
    <row r="9" spans="1:8" x14ac:dyDescent="0.2">
      <c r="A9" s="6"/>
      <c r="B9" s="7" t="s">
        <v>24</v>
      </c>
      <c r="C9" s="7" t="s">
        <v>25</v>
      </c>
      <c r="D9" s="7" t="s">
        <v>2</v>
      </c>
      <c r="E9" s="7" t="s">
        <v>26</v>
      </c>
      <c r="F9" s="7"/>
      <c r="G9" s="7" t="s">
        <v>27</v>
      </c>
      <c r="H9" s="7" t="s">
        <v>28</v>
      </c>
    </row>
    <row r="10" spans="1:8" x14ac:dyDescent="0.2">
      <c r="A10" s="4">
        <v>2021</v>
      </c>
      <c r="B10" s="4">
        <v>1</v>
      </c>
      <c r="C10" s="8">
        <v>0.88445163236383117</v>
      </c>
      <c r="D10" s="8">
        <v>0.88445163236383117</v>
      </c>
      <c r="E10" s="9">
        <v>0.88445163236383117</v>
      </c>
      <c r="F10" s="25">
        <v>0.1</v>
      </c>
      <c r="G10" s="8">
        <v>0.97289679560021436</v>
      </c>
      <c r="H10" s="8">
        <v>0.57011051999999995</v>
      </c>
    </row>
    <row r="11" spans="1:8" x14ac:dyDescent="0.2">
      <c r="A11" s="4">
        <v>2022</v>
      </c>
      <c r="B11" s="4">
        <v>2</v>
      </c>
      <c r="C11" s="8">
        <v>0.81371500359565097</v>
      </c>
      <c r="D11" s="8">
        <v>0.84138131371790315</v>
      </c>
      <c r="E11" s="11">
        <v>1.7258329460817343</v>
      </c>
      <c r="F11" s="25">
        <v>0.1</v>
      </c>
      <c r="G11" s="8">
        <v>1.8984162406899079</v>
      </c>
      <c r="H11" s="8">
        <v>0.57615605137735904</v>
      </c>
    </row>
    <row r="12" spans="1:8" x14ac:dyDescent="0.2">
      <c r="A12" s="4">
        <v>2023</v>
      </c>
      <c r="B12" s="4">
        <v>3</v>
      </c>
      <c r="C12" s="8">
        <v>0.76115943272610243</v>
      </c>
      <c r="D12" s="8">
        <v>0.81379817445570879</v>
      </c>
      <c r="E12" s="11">
        <v>2.5396311205374431</v>
      </c>
      <c r="F12" s="25">
        <v>0.1</v>
      </c>
      <c r="G12" s="8">
        <v>2.7935942325911878</v>
      </c>
      <c r="H12" s="8">
        <v>0.58293196065410902</v>
      </c>
    </row>
    <row r="13" spans="1:8" x14ac:dyDescent="0.2">
      <c r="A13" s="4">
        <v>2024</v>
      </c>
      <c r="B13" s="4">
        <v>4</v>
      </c>
      <c r="C13" s="8">
        <v>0.75798388048815024</v>
      </c>
      <c r="D13" s="8">
        <v>0.83795671619391321</v>
      </c>
      <c r="E13" s="11">
        <v>3.3775878367313563</v>
      </c>
      <c r="F13" s="25">
        <v>0.1</v>
      </c>
      <c r="G13" s="8">
        <v>3.715346620404492</v>
      </c>
      <c r="H13" s="8">
        <v>0.58975943021046795</v>
      </c>
    </row>
    <row r="14" spans="1:8" x14ac:dyDescent="0.2">
      <c r="A14" s="4">
        <v>2025</v>
      </c>
      <c r="B14" s="4">
        <v>5</v>
      </c>
      <c r="C14" s="8">
        <v>0.77075836546405829</v>
      </c>
      <c r="D14" s="8">
        <v>0.88104968872936473</v>
      </c>
      <c r="E14" s="11">
        <v>4.2586375254607214</v>
      </c>
      <c r="F14" s="25">
        <v>0.1</v>
      </c>
      <c r="G14" s="8">
        <v>4.6845012780067936</v>
      </c>
      <c r="H14" s="8">
        <v>0.61455510299969196</v>
      </c>
    </row>
    <row r="15" spans="1:8" x14ac:dyDescent="0.2">
      <c r="A15" s="4">
        <v>2026</v>
      </c>
      <c r="B15" s="4">
        <v>6</v>
      </c>
      <c r="C15" s="8">
        <v>0.76378755722747937</v>
      </c>
      <c r="D15" s="8">
        <v>0.90276616326625003</v>
      </c>
      <c r="E15" s="11">
        <v>5.1614036887269714</v>
      </c>
      <c r="F15" s="25">
        <v>0.1</v>
      </c>
      <c r="G15" s="8">
        <v>5.6775440575996692</v>
      </c>
      <c r="H15" s="8">
        <v>0.629247118316003</v>
      </c>
    </row>
    <row r="16" spans="1:8" x14ac:dyDescent="0.2">
      <c r="A16" s="4">
        <v>2027</v>
      </c>
      <c r="B16" s="4">
        <v>7</v>
      </c>
      <c r="C16" s="8">
        <v>0.74933499617350652</v>
      </c>
      <c r="D16" s="8">
        <v>0.91579706736600974</v>
      </c>
      <c r="E16" s="11">
        <v>6.0772007560929815</v>
      </c>
      <c r="F16" s="25">
        <v>0.1</v>
      </c>
      <c r="G16" s="8">
        <v>6.6849208317022804</v>
      </c>
      <c r="H16" s="8">
        <v>0.64174689766763904</v>
      </c>
    </row>
    <row r="17" spans="1:8" x14ac:dyDescent="0.2">
      <c r="A17" s="4">
        <v>2028</v>
      </c>
      <c r="B17" s="4">
        <v>8</v>
      </c>
      <c r="C17" s="8">
        <v>0.72707320786116503</v>
      </c>
      <c r="D17" s="8">
        <v>0.91880195964036115</v>
      </c>
      <c r="E17" s="11">
        <v>6.9960027157333426</v>
      </c>
      <c r="F17" s="25">
        <v>0.1</v>
      </c>
      <c r="G17" s="8">
        <v>7.6956029873066774</v>
      </c>
      <c r="H17" s="8">
        <v>0.65668675188056402</v>
      </c>
    </row>
    <row r="18" spans="1:8" x14ac:dyDescent="0.2">
      <c r="A18" s="4">
        <v>2029</v>
      </c>
      <c r="B18" s="4">
        <v>9</v>
      </c>
      <c r="C18" s="8">
        <v>0.7149322508405066</v>
      </c>
      <c r="D18" s="8">
        <v>0.93417706077384166</v>
      </c>
      <c r="E18" s="11">
        <v>7.9301797765071846</v>
      </c>
      <c r="F18" s="25">
        <v>0.1</v>
      </c>
      <c r="G18" s="8">
        <v>8.7231977541579031</v>
      </c>
      <c r="H18" s="8">
        <v>0.671362515855918</v>
      </c>
    </row>
    <row r="19" spans="1:8" x14ac:dyDescent="0.2">
      <c r="A19" s="4">
        <v>2030</v>
      </c>
      <c r="B19" s="4">
        <v>10</v>
      </c>
      <c r="C19" s="8">
        <v>0.70356791294168164</v>
      </c>
      <c r="D19" s="8">
        <v>0.95058481742366419</v>
      </c>
      <c r="E19" s="11">
        <v>8.8807645939308486</v>
      </c>
      <c r="F19" s="25">
        <v>0.1</v>
      </c>
      <c r="G19" s="8">
        <v>9.7688410533239338</v>
      </c>
      <c r="H19" s="8">
        <v>0.70168753835864495</v>
      </c>
    </row>
    <row r="20" spans="1:8" x14ac:dyDescent="0.2">
      <c r="A20" s="4">
        <v>2031</v>
      </c>
      <c r="B20" s="4">
        <v>11</v>
      </c>
      <c r="C20" s="8">
        <v>0.6851545172570157</v>
      </c>
      <c r="D20" s="8">
        <v>0.95718065546171105</v>
      </c>
      <c r="E20" s="11">
        <v>9.8379452493925594</v>
      </c>
      <c r="F20" s="25">
        <v>0.1</v>
      </c>
      <c r="G20" s="8">
        <v>10.821739774331816</v>
      </c>
      <c r="H20" s="8">
        <v>0.71753017552309395</v>
      </c>
    </row>
    <row r="21" spans="1:8" x14ac:dyDescent="0.2">
      <c r="A21" s="4">
        <v>2032</v>
      </c>
      <c r="B21" s="4">
        <v>12</v>
      </c>
      <c r="C21" s="8">
        <v>0.67625670713780228</v>
      </c>
      <c r="D21" s="8">
        <v>0.97687166301819628</v>
      </c>
      <c r="E21" s="11">
        <v>10.814816912410755</v>
      </c>
      <c r="F21" s="25">
        <v>0.1</v>
      </c>
      <c r="G21" s="8">
        <v>11.896298603651832</v>
      </c>
      <c r="H21" s="8">
        <v>0.73540219867662504</v>
      </c>
    </row>
    <row r="22" spans="1:8" x14ac:dyDescent="0.2">
      <c r="A22" s="4">
        <v>2033</v>
      </c>
      <c r="B22" s="4">
        <v>13</v>
      </c>
      <c r="C22" s="8">
        <v>0.66587008865652375</v>
      </c>
      <c r="D22" s="8">
        <v>0.99457141181766762</v>
      </c>
      <c r="E22" s="11">
        <v>11.809388324228422</v>
      </c>
      <c r="F22" s="25">
        <v>0.1</v>
      </c>
      <c r="G22" s="8">
        <v>12.990327156651265</v>
      </c>
      <c r="H22" s="8">
        <v>0.75283800222888697</v>
      </c>
    </row>
    <row r="23" spans="1:8" x14ac:dyDescent="0.2">
      <c r="A23" s="4">
        <v>2034</v>
      </c>
      <c r="B23" s="4">
        <v>14</v>
      </c>
      <c r="C23" s="8">
        <v>0.64881311732878166</v>
      </c>
      <c r="D23" s="8">
        <v>1.0020436159092017</v>
      </c>
      <c r="E23" s="11">
        <v>12.811431940137624</v>
      </c>
      <c r="F23" s="25">
        <v>0.1</v>
      </c>
      <c r="G23" s="8">
        <v>14.092575134151387</v>
      </c>
      <c r="H23" s="8">
        <v>0.77211629283704597</v>
      </c>
    </row>
    <row r="24" spans="1:8" x14ac:dyDescent="0.2">
      <c r="A24" s="4">
        <v>2035</v>
      </c>
      <c r="B24" s="4">
        <v>15</v>
      </c>
      <c r="C24" s="8">
        <v>0.63835970106897866</v>
      </c>
      <c r="D24" s="8">
        <v>1.0194196609012849</v>
      </c>
      <c r="E24" s="11">
        <v>13.830851601038908</v>
      </c>
      <c r="F24" s="25">
        <v>0.1</v>
      </c>
      <c r="G24" s="8">
        <v>15.213936761142801</v>
      </c>
      <c r="H24" s="8">
        <v>0.81064038086745605</v>
      </c>
    </row>
    <row r="25" spans="1:8" x14ac:dyDescent="0.2">
      <c r="A25" s="4">
        <v>2036</v>
      </c>
      <c r="B25" s="4">
        <v>16</v>
      </c>
      <c r="C25" s="8">
        <v>0.62567375799839731</v>
      </c>
      <c r="D25" s="8">
        <v>1.0331324949498273</v>
      </c>
      <c r="E25" s="11">
        <v>14.863984095988735</v>
      </c>
      <c r="F25" s="25">
        <v>0.1</v>
      </c>
      <c r="G25" s="8">
        <v>16.350382505587611</v>
      </c>
      <c r="H25" s="8">
        <v>0.83101695530386399</v>
      </c>
    </row>
    <row r="26" spans="1:8" x14ac:dyDescent="0.2">
      <c r="A26" s="4">
        <v>2037</v>
      </c>
      <c r="B26" s="4">
        <v>17</v>
      </c>
      <c r="C26" s="8">
        <v>0.61894833994618093</v>
      </c>
      <c r="D26" s="8">
        <v>1.0567761970079774</v>
      </c>
      <c r="E26" s="11">
        <v>15.920760292996713</v>
      </c>
      <c r="F26" s="25">
        <v>0.1</v>
      </c>
      <c r="G26" s="8">
        <v>17.512836322296387</v>
      </c>
      <c r="H26" s="8">
        <v>0.85329665766642104</v>
      </c>
    </row>
    <row r="27" spans="1:8" x14ac:dyDescent="0.2">
      <c r="A27" s="4">
        <v>2038</v>
      </c>
      <c r="B27" s="4">
        <v>18</v>
      </c>
      <c r="C27" s="8">
        <v>0.61107179398866485</v>
      </c>
      <c r="D27" s="8">
        <v>1.078801140190391</v>
      </c>
      <c r="E27" s="11">
        <v>16.999561433187104</v>
      </c>
      <c r="F27" s="25">
        <v>0.1</v>
      </c>
      <c r="G27" s="8">
        <v>18.699517576505816</v>
      </c>
      <c r="H27" s="8">
        <v>0.87508084147130905</v>
      </c>
    </row>
    <row r="28" spans="1:8" x14ac:dyDescent="0.2">
      <c r="A28" s="4">
        <v>2039</v>
      </c>
      <c r="B28" s="4">
        <v>19</v>
      </c>
      <c r="C28" s="8">
        <v>0.60374811403143069</v>
      </c>
      <c r="D28" s="8">
        <v>1.1021113748980613</v>
      </c>
      <c r="E28" s="11">
        <v>18.101672808085166</v>
      </c>
      <c r="F28" s="25">
        <v>0.1</v>
      </c>
      <c r="G28" s="8">
        <v>19.911840088893683</v>
      </c>
      <c r="H28" s="8">
        <v>0.897067740402681</v>
      </c>
    </row>
    <row r="29" spans="1:8" x14ac:dyDescent="0.2">
      <c r="A29" s="4">
        <v>2040</v>
      </c>
      <c r="B29" s="4">
        <v>20</v>
      </c>
      <c r="C29" s="8">
        <v>0.59154544035996659</v>
      </c>
      <c r="D29" s="8">
        <v>1.1165504413430951</v>
      </c>
      <c r="E29" s="11">
        <v>19.218223249428259</v>
      </c>
      <c r="F29" s="25">
        <v>0.1</v>
      </c>
      <c r="G29" s="8">
        <v>21.140045574371086</v>
      </c>
      <c r="H29" s="8">
        <v>0.91930355234543903</v>
      </c>
    </row>
    <row r="30" spans="1:8" x14ac:dyDescent="0.2">
      <c r="A30" s="4">
        <v>2041</v>
      </c>
      <c r="B30" s="4">
        <v>21</v>
      </c>
      <c r="C30" s="8">
        <v>0.58353612105141783</v>
      </c>
      <c r="D30" s="8">
        <v>1.1388814501699571</v>
      </c>
      <c r="E30" s="11">
        <v>20.357104699598217</v>
      </c>
      <c r="F30" s="25">
        <v>0.1</v>
      </c>
      <c r="G30" s="8">
        <v>22.392815169558041</v>
      </c>
      <c r="H30" s="8">
        <v>0.96256067436903203</v>
      </c>
    </row>
    <row r="31" spans="1:8" x14ac:dyDescent="0.2">
      <c r="A31" s="4">
        <v>2042</v>
      </c>
      <c r="B31" s="4">
        <v>22</v>
      </c>
      <c r="C31" s="8">
        <v>0.57563524513776232</v>
      </c>
      <c r="D31" s="8">
        <v>1.1616590791733563</v>
      </c>
      <c r="E31" s="11">
        <v>21.518763778771575</v>
      </c>
      <c r="F31" s="25">
        <v>0.1</v>
      </c>
      <c r="G31" s="8">
        <v>23.670640156648734</v>
      </c>
      <c r="H31" s="8">
        <v>0.98552212265613304</v>
      </c>
    </row>
    <row r="32" spans="1:8" x14ac:dyDescent="0.2">
      <c r="A32" s="4">
        <v>2043</v>
      </c>
      <c r="B32" s="4">
        <v>23</v>
      </c>
      <c r="C32" s="8">
        <v>0.56784134433318922</v>
      </c>
      <c r="D32" s="8">
        <v>1.1848922607568235</v>
      </c>
      <c r="E32" s="11">
        <v>22.703656039528397</v>
      </c>
      <c r="F32" s="25">
        <v>0.1</v>
      </c>
      <c r="G32" s="8">
        <v>24.97402164348124</v>
      </c>
      <c r="H32" s="8">
        <v>1.0086464310452701</v>
      </c>
    </row>
    <row r="33" spans="1:8" x14ac:dyDescent="0.2">
      <c r="A33" s="4">
        <v>2044</v>
      </c>
      <c r="B33" s="4">
        <v>24</v>
      </c>
      <c r="C33" s="8">
        <v>0.56015297023196597</v>
      </c>
      <c r="D33" s="8">
        <v>1.2085901059719599</v>
      </c>
      <c r="E33" s="11">
        <v>23.912246145500358</v>
      </c>
      <c r="F33" s="25">
        <v>0.1</v>
      </c>
      <c r="G33" s="8">
        <v>26.303470760050395</v>
      </c>
      <c r="H33" s="8">
        <v>1.03195880055061</v>
      </c>
    </row>
    <row r="34" spans="1:8" x14ac:dyDescent="0.2">
      <c r="A34" s="4">
        <v>2045</v>
      </c>
      <c r="B34" s="4">
        <v>25</v>
      </c>
      <c r="C34" s="8">
        <v>0.55256869403927023</v>
      </c>
      <c r="D34" s="8">
        <v>1.2327619080913992</v>
      </c>
      <c r="E34" s="11">
        <v>25.145008053591756</v>
      </c>
      <c r="F34" s="25">
        <v>0.1</v>
      </c>
      <c r="G34" s="8">
        <v>27.659508858950932</v>
      </c>
      <c r="H34" s="8">
        <v>1.0554809412422199</v>
      </c>
    </row>
    <row r="35" spans="1:8" x14ac:dyDescent="0.2">
      <c r="A35" s="4">
        <v>2046</v>
      </c>
      <c r="B35" s="4">
        <v>26</v>
      </c>
      <c r="C35" s="8">
        <v>0.54508710630566315</v>
      </c>
      <c r="D35" s="8">
        <v>1.2574171462532271</v>
      </c>
      <c r="E35" s="11">
        <v>26.402425199844984</v>
      </c>
      <c r="F35" s="25">
        <v>0.1</v>
      </c>
      <c r="G35" s="8">
        <v>29.042667719829485</v>
      </c>
      <c r="H35" s="8">
        <v>1.1026933043184499</v>
      </c>
    </row>
    <row r="36" spans="1:8" x14ac:dyDescent="0.2">
      <c r="A36" s="4">
        <v>2047</v>
      </c>
      <c r="B36" s="4">
        <v>27</v>
      </c>
      <c r="C36" s="8">
        <v>0.53770681666516085</v>
      </c>
      <c r="D36" s="8">
        <v>1.2825654891782916</v>
      </c>
      <c r="E36" s="11">
        <v>27.684990689023277</v>
      </c>
      <c r="F36" s="25">
        <v>0.1</v>
      </c>
      <c r="G36" s="8">
        <v>30.453489757925606</v>
      </c>
      <c r="H36" s="8">
        <v>1.1272110200121499</v>
      </c>
    </row>
    <row r="37" spans="1:8" x14ac:dyDescent="0.2">
      <c r="A37" s="4">
        <v>2048</v>
      </c>
      <c r="B37" s="4">
        <v>28</v>
      </c>
      <c r="C37" s="8">
        <v>0.53042645357685103</v>
      </c>
      <c r="D37" s="8">
        <v>1.3082167989618574</v>
      </c>
      <c r="E37" s="11">
        <v>28.993207487985135</v>
      </c>
      <c r="F37" s="25">
        <v>0.1</v>
      </c>
      <c r="G37" s="8">
        <v>31.892528236783651</v>
      </c>
      <c r="H37" s="8">
        <v>1.1519943575740099</v>
      </c>
    </row>
    <row r="38" spans="1:8" x14ac:dyDescent="0.2">
      <c r="A38" s="4">
        <v>2049</v>
      </c>
      <c r="B38" s="4">
        <v>29</v>
      </c>
      <c r="C38" s="8">
        <v>0.52324466407000791</v>
      </c>
      <c r="D38" s="8">
        <v>1.3343811349410946</v>
      </c>
      <c r="E38" s="11">
        <v>30.327588622926228</v>
      </c>
      <c r="F38" s="25">
        <v>0.1</v>
      </c>
      <c r="G38" s="8">
        <v>33.360347485218853</v>
      </c>
      <c r="H38" s="8">
        <v>1.1770567561259799</v>
      </c>
    </row>
    <row r="39" spans="1:8" x14ac:dyDescent="0.2">
      <c r="A39" s="4">
        <v>2050</v>
      </c>
      <c r="B39" s="4">
        <v>30</v>
      </c>
      <c r="C39" s="8">
        <v>0.51616011349265778</v>
      </c>
      <c r="D39" s="8">
        <v>1.3610687576399165</v>
      </c>
      <c r="E39" s="11">
        <v>31.688657380566145</v>
      </c>
      <c r="F39" s="25">
        <v>0.1</v>
      </c>
      <c r="G39" s="8">
        <v>34.857523118622765</v>
      </c>
      <c r="H39" s="8">
        <v>1.2024103291102399</v>
      </c>
    </row>
    <row r="40" spans="1:8" x14ac:dyDescent="0.2">
      <c r="A40" s="4">
        <v>2051</v>
      </c>
      <c r="B40" s="4">
        <v>31</v>
      </c>
      <c r="C40" s="8">
        <v>0.50917148526355016</v>
      </c>
      <c r="D40" s="8">
        <v>1.3882901327927148</v>
      </c>
      <c r="E40" s="11">
        <v>33.07694751335886</v>
      </c>
      <c r="F40" s="25">
        <v>0.1</v>
      </c>
      <c r="G40" s="8">
        <v>36.384642264694747</v>
      </c>
      <c r="H40" s="8">
        <v>1.2541951448828901</v>
      </c>
    </row>
    <row r="41" spans="1:8" x14ac:dyDescent="0.2">
      <c r="A41" s="4">
        <v>2052</v>
      </c>
      <c r="B41" s="4">
        <v>32</v>
      </c>
      <c r="C41" s="8">
        <v>0.50227748062748667</v>
      </c>
      <c r="D41" s="8">
        <v>1.4160559354485691</v>
      </c>
      <c r="E41" s="11">
        <v>34.493003448807428</v>
      </c>
      <c r="F41" s="25">
        <v>0.1</v>
      </c>
      <c r="G41" s="8">
        <v>37.942303793688176</v>
      </c>
      <c r="H41" s="8">
        <v>1.2807156499932999</v>
      </c>
    </row>
    <row r="42" spans="1:8" x14ac:dyDescent="0.2">
      <c r="A42" s="4">
        <v>2053</v>
      </c>
      <c r="B42" s="4">
        <v>33</v>
      </c>
      <c r="C42" s="8">
        <v>0.49547681841396168</v>
      </c>
      <c r="D42" s="8">
        <v>1.4443770541575405</v>
      </c>
      <c r="E42" s="11">
        <v>35.93738050296497</v>
      </c>
      <c r="F42" s="25">
        <v>0.1</v>
      </c>
      <c r="G42" s="8">
        <v>39.531118553261472</v>
      </c>
      <c r="H42" s="8">
        <v>1.30756451467569</v>
      </c>
    </row>
    <row r="43" spans="1:8" x14ac:dyDescent="0.2">
      <c r="A43" s="4">
        <v>2054</v>
      </c>
      <c r="B43" s="4">
        <v>34</v>
      </c>
      <c r="C43" s="8">
        <v>0.48876823479907244</v>
      </c>
      <c r="D43" s="8">
        <v>1.4732645952406913</v>
      </c>
      <c r="E43" s="11">
        <v>37.410645098205663</v>
      </c>
      <c r="F43" s="25">
        <v>0.1</v>
      </c>
      <c r="G43" s="8">
        <v>41.151709608026231</v>
      </c>
      <c r="H43" s="8">
        <v>1.33475052162326</v>
      </c>
    </row>
    <row r="44" spans="1:8" x14ac:dyDescent="0.2">
      <c r="A44" s="4">
        <v>2055</v>
      </c>
      <c r="B44" s="4">
        <v>35</v>
      </c>
      <c r="C44" s="8">
        <v>0.48215048307065178</v>
      </c>
      <c r="D44" s="8">
        <v>1.5027298871455053</v>
      </c>
      <c r="E44" s="11">
        <v>38.913374985351169</v>
      </c>
      <c r="F44" s="25">
        <v>0.1</v>
      </c>
      <c r="G44" s="8">
        <v>42.804712483886291</v>
      </c>
      <c r="H44" s="8">
        <v>1.3622818643825101</v>
      </c>
    </row>
    <row r="45" spans="1:8" x14ac:dyDescent="0.2">
      <c r="A45" s="4">
        <v>2056</v>
      </c>
      <c r="B45" s="4">
        <v>36</v>
      </c>
      <c r="C45" s="8">
        <v>0.47562233339658105</v>
      </c>
      <c r="D45" s="8">
        <v>1.5327844848884153</v>
      </c>
      <c r="E45" s="11">
        <v>40.446159470239586</v>
      </c>
      <c r="F45" s="25">
        <v>0.1</v>
      </c>
      <c r="G45" s="8">
        <v>44.490775417263549</v>
      </c>
      <c r="H45" s="8">
        <v>1.3901662306967699</v>
      </c>
    </row>
    <row r="46" spans="1:8" x14ac:dyDescent="0.2">
      <c r="A46" s="4">
        <v>2057</v>
      </c>
      <c r="B46" s="4">
        <v>37</v>
      </c>
      <c r="C46" s="8">
        <v>0.46918257259624058</v>
      </c>
      <c r="D46" s="8">
        <v>1.5634401745861837</v>
      </c>
      <c r="E46" s="11">
        <v>42.009599644825769</v>
      </c>
      <c r="F46" s="25">
        <v>0.1</v>
      </c>
      <c r="G46" s="8">
        <v>46.210559609308348</v>
      </c>
      <c r="H46" s="8">
        <v>1.41841087242749</v>
      </c>
    </row>
    <row r="47" spans="1:8" x14ac:dyDescent="0.2">
      <c r="A47" s="4">
        <v>2058</v>
      </c>
      <c r="B47" s="4">
        <v>38</v>
      </c>
      <c r="C47" s="8">
        <v>0.46283000391505358</v>
      </c>
      <c r="D47" s="8">
        <v>1.5947089780779073</v>
      </c>
      <c r="E47" s="11">
        <v>43.604308622903673</v>
      </c>
      <c r="F47" s="25">
        <v>0.1</v>
      </c>
      <c r="G47" s="8">
        <v>47.964739485194045</v>
      </c>
      <c r="H47" s="8">
        <v>1.4470226645295901</v>
      </c>
    </row>
    <row r="48" spans="1:8" x14ac:dyDescent="0.2">
      <c r="A48" s="4">
        <v>2059</v>
      </c>
      <c r="B48" s="4">
        <v>39</v>
      </c>
      <c r="C48" s="8">
        <v>0.45656344680208383</v>
      </c>
      <c r="D48" s="8">
        <v>1.6266031576394655</v>
      </c>
      <c r="E48" s="11">
        <v>45.230911780543138</v>
      </c>
      <c r="F48" s="25">
        <v>0.1</v>
      </c>
      <c r="G48" s="8">
        <v>49.754002958597454</v>
      </c>
      <c r="H48" s="8">
        <v>1.4760081550492099</v>
      </c>
    </row>
    <row r="49" spans="1:8" x14ac:dyDescent="0.2">
      <c r="A49" s="4">
        <v>2060</v>
      </c>
      <c r="B49" s="4">
        <v>40</v>
      </c>
      <c r="C49" s="8">
        <v>0.45038173669064363</v>
      </c>
      <c r="D49" s="8">
        <v>1.6591352207922549</v>
      </c>
      <c r="E49" s="11">
        <v>46.890047001335397</v>
      </c>
      <c r="F49" s="25">
        <v>0.1</v>
      </c>
      <c r="G49" s="8">
        <v>51.579051701468941</v>
      </c>
      <c r="H49" s="8">
        <v>1.5053736077183399</v>
      </c>
    </row>
    <row r="50" spans="1:8" x14ac:dyDescent="0.2">
      <c r="A50" s="4">
        <v>2061</v>
      </c>
      <c r="B50" s="4">
        <v>41</v>
      </c>
      <c r="C50" s="8">
        <v>0.44428372478187284</v>
      </c>
      <c r="D50" s="8">
        <v>1.6923179252081</v>
      </c>
      <c r="E50" s="11">
        <v>48.582364926543498</v>
      </c>
      <c r="F50" s="25">
        <v>0.1</v>
      </c>
      <c r="G50" s="8">
        <v>53.440601419197854</v>
      </c>
      <c r="H50" s="8">
        <v>1.53512503841349</v>
      </c>
    </row>
    <row r="51" spans="1:8" x14ac:dyDescent="0.2">
      <c r="A51" s="4">
        <v>2062</v>
      </c>
      <c r="B51" s="4">
        <v>42</v>
      </c>
      <c r="C51" s="8">
        <v>0.43826827783124789</v>
      </c>
      <c r="D51" s="8">
        <v>1.7261642837122619</v>
      </c>
      <c r="E51" s="11">
        <v>50.308529210255763</v>
      </c>
      <c r="F51" s="25">
        <v>0.1</v>
      </c>
      <c r="G51" s="8">
        <v>55.339382131281347</v>
      </c>
      <c r="H51" s="8">
        <v>1.5652682465040999</v>
      </c>
    </row>
    <row r="52" spans="1:8" x14ac:dyDescent="0.2">
      <c r="A52" s="4">
        <v>2063</v>
      </c>
      <c r="B52" s="4">
        <v>43</v>
      </c>
      <c r="C52" s="8">
        <v>0.43233427793798146</v>
      </c>
      <c r="D52" s="8">
        <v>1.7606875693865072</v>
      </c>
      <c r="E52" s="11">
        <v>52.069216779642268</v>
      </c>
      <c r="F52" s="25">
        <v>0.1</v>
      </c>
      <c r="G52" s="8">
        <v>57.2761384576065</v>
      </c>
      <c r="H52" s="8">
        <v>1.5958088419255401</v>
      </c>
    </row>
    <row r="53" spans="1:8" x14ac:dyDescent="0.2">
      <c r="A53" s="4">
        <v>2064</v>
      </c>
      <c r="B53" s="4">
        <v>44</v>
      </c>
      <c r="C53" s="8">
        <v>0.42648062233727368</v>
      </c>
      <c r="D53" s="8">
        <v>1.7959013207742374</v>
      </c>
      <c r="E53" s="11">
        <v>53.865118100416503</v>
      </c>
      <c r="F53" s="25">
        <v>0.1</v>
      </c>
      <c r="G53" s="8">
        <v>59.251629910458156</v>
      </c>
      <c r="H53" s="8">
        <v>1.62675226865943</v>
      </c>
    </row>
    <row r="54" spans="1:8" x14ac:dyDescent="0.2">
      <c r="A54" s="4">
        <v>2065</v>
      </c>
      <c r="B54" s="4">
        <v>45</v>
      </c>
      <c r="C54" s="8">
        <v>0.42070622319537654</v>
      </c>
      <c r="D54" s="8">
        <v>1.8318193471897222</v>
      </c>
      <c r="E54" s="11">
        <v>55.696937447606224</v>
      </c>
      <c r="F54" s="25">
        <v>0.1</v>
      </c>
      <c r="G54" s="8">
        <v>61.266631192366852</v>
      </c>
      <c r="H54" s="8">
        <v>1.65810382518273</v>
      </c>
    </row>
    <row r="55" spans="1:8" x14ac:dyDescent="0.2">
      <c r="G55" s="10"/>
    </row>
    <row r="56" spans="1:8" x14ac:dyDescent="0.2">
      <c r="C56" s="4" t="s">
        <v>52</v>
      </c>
      <c r="E56" s="12"/>
      <c r="F56" s="12">
        <v>3.4000000000000002E-2</v>
      </c>
    </row>
    <row r="57" spans="1:8" x14ac:dyDescent="0.2">
      <c r="C57" s="4" t="s">
        <v>53</v>
      </c>
      <c r="E57" s="12"/>
      <c r="F57" s="12">
        <v>3.4000000000000002E-2</v>
      </c>
    </row>
    <row r="58" spans="1:8" x14ac:dyDescent="0.2">
      <c r="C58" s="4" t="s">
        <v>54</v>
      </c>
      <c r="E58" s="12"/>
      <c r="F58" s="12">
        <v>0.02</v>
      </c>
      <c r="G58" s="4" t="s">
        <v>48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2021 TOTAL 1ST YEAR by MEASURE</vt:lpstr>
      <vt:lpstr>2021 WA LIW ACTUALS</vt:lpstr>
      <vt:lpstr>APP 2885</vt:lpstr>
      <vt:lpstr>AC</vt:lpstr>
    </vt:vector>
  </TitlesOfParts>
  <Company>An MDU Resources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Storvick, Jon</cp:lastModifiedBy>
  <cp:lastPrinted>2019-04-25T16:19:46Z</cp:lastPrinted>
  <dcterms:created xsi:type="dcterms:W3CDTF">2009-05-13T20:27:41Z</dcterms:created>
  <dcterms:modified xsi:type="dcterms:W3CDTF">2022-04-29T18:51:41Z</dcterms:modified>
</cp:coreProperties>
</file>