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24226"/>
  <mc:AlternateContent xmlns:mc="http://schemas.openxmlformats.org/markup-compatibility/2006">
    <mc:Choice Requires="x15">
      <x15ac:absPath xmlns:x15ac="http://schemas.microsoft.com/office/spreadsheetml/2010/11/ac" url="G:\Dept\Rates\ENERGY EFFICIENCY\Conservation Plan docs\BCP 24-25\2024-25 BCP FINAL DOCUMENTS\"/>
    </mc:Choice>
  </mc:AlternateContent>
  <xr:revisionPtr revIDLastSave="0" documentId="8_{D106E7A0-B52A-4CF4-BD18-178A9F563893}" xr6:coauthVersionLast="47" xr6:coauthVersionMax="47" xr10:uidLastSave="{00000000-0000-0000-0000-000000000000}"/>
  <bookViews>
    <workbookView xWindow="-28920" yWindow="-120" windowWidth="29040" windowHeight="15840" xr2:uid="{00000000-000D-0000-FFFF-FFFF00000000}"/>
  </bookViews>
  <sheets>
    <sheet name="2024" sheetId="3" r:id="rId1"/>
    <sheet name="2025" sheetId="12" r:id="rId2"/>
    <sheet name="Tariff" sheetId="11" r:id="rId3"/>
    <sheet name="APP 2885" sheetId="8" r:id="rId4"/>
    <sheet name="All TRC 2022 Measure Data" sheetId="9" state="hidden" r:id="rId5"/>
    <sheet name="Com Measure Mapping" sheetId="10" r:id="rId6"/>
  </sheets>
  <externalReferences>
    <externalReference r:id="rId7"/>
    <externalReference r:id="rId8"/>
    <externalReference r:id="rId9"/>
    <externalReference r:id="rId10"/>
    <externalReference r:id="rId11"/>
  </externalReferences>
  <definedNames>
    <definedName name="_xlnm._FilterDatabase" localSheetId="0" hidden="1">'2024'!$B$4:$AP$4</definedName>
    <definedName name="_xlnm._FilterDatabase" localSheetId="1" hidden="1">'2025'!$B$4:$AO$4</definedName>
    <definedName name="_xlnm._FilterDatabase" localSheetId="4" hidden="1">'All TRC 2022 Measure Data'!$A$1:$AO$285</definedName>
    <definedName name="_xlnm._FilterDatabase" localSheetId="5" hidden="1">'Com Measure Mapping'!$B$3:$AE$3</definedName>
    <definedName name="_xlnm._FilterDatabase" localSheetId="2" hidden="1">Tariff!$B$4:$K$4</definedName>
    <definedName name="AC">'APP 2885'!$B$7:$G$51</definedName>
    <definedName name="DiscountRate">[1]Constants!$A$5</definedName>
    <definedName name="Elect_Avoided_Cost">'[2]Load Profiles'!$G$2:$Z$74</definedName>
    <definedName name="Electric_Load_Profiles">'[2]Load Profiles'!$A$3:$D$20</definedName>
    <definedName name="Existing_Process">"Gas_Capacity_Factors"</definedName>
    <definedName name="Gas_Avoided_Cost">'[2]Load Profiles'!$AB$3:$AE$79</definedName>
    <definedName name="Gas_Cap_Factor">'[2]Load Profiles'!$X$4:$Y$25</definedName>
    <definedName name="Index_No.">"Gas_Avoided_Cost"</definedName>
    <definedName name="Inflation">'[3]Rates&amp;NEB'!$B$7</definedName>
    <definedName name="LTdiscount">'[3]Rates&amp;NEB'!$B$9</definedName>
    <definedName name="NEPercentage">'[3]Rates&amp;NEB'!$B$13</definedName>
    <definedName name="NomInt">'[3]Rates&amp;NEB'!$B$5</definedName>
    <definedName name="OffsetAnchor" localSheetId="0">'2024'!#REF!</definedName>
    <definedName name="OffsetAnchor" localSheetId="1">'2025'!#REF!</definedName>
    <definedName name="_xlnm.Print_Area" localSheetId="0">'2024'!$E$1:$AP$62</definedName>
    <definedName name="_xlnm.Print_Area" localSheetId="1">'2025'!$D$1:$AO$62</definedName>
    <definedName name="SSMeasures">[4]Sheet4!$A$5:$G$115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12" l="1"/>
  <c r="M26" i="12"/>
  <c r="M25" i="12"/>
  <c r="M24" i="12"/>
  <c r="M23" i="12"/>
  <c r="M15" i="12"/>
  <c r="M14" i="12"/>
  <c r="M13" i="12"/>
  <c r="M12" i="12"/>
  <c r="H12" i="12"/>
  <c r="N26" i="12"/>
  <c r="R26" i="12" s="1"/>
  <c r="H26" i="12"/>
  <c r="G26" i="12"/>
  <c r="B26" i="12"/>
  <c r="L26" i="12" s="1"/>
  <c r="N25" i="12"/>
  <c r="R25" i="12" s="1"/>
  <c r="H25" i="12"/>
  <c r="G25" i="12"/>
  <c r="B25" i="12"/>
  <c r="AG25" i="12" s="1"/>
  <c r="N24" i="12"/>
  <c r="R24" i="12" s="1"/>
  <c r="H24" i="12"/>
  <c r="G24" i="12"/>
  <c r="B24" i="12"/>
  <c r="V24" i="12" s="1"/>
  <c r="H17" i="12"/>
  <c r="N15" i="12"/>
  <c r="R15" i="12" s="1"/>
  <c r="H15" i="12"/>
  <c r="G15" i="12"/>
  <c r="B15" i="12"/>
  <c r="AB15" i="12" s="1"/>
  <c r="AC15" i="12" s="1"/>
  <c r="N14" i="12"/>
  <c r="R14" i="12" s="1"/>
  <c r="H14" i="12"/>
  <c r="G14" i="12"/>
  <c r="B14" i="12"/>
  <c r="AG14" i="12" s="1"/>
  <c r="N13" i="12"/>
  <c r="R13" i="12" s="1"/>
  <c r="H13" i="12"/>
  <c r="G13" i="12"/>
  <c r="B13" i="12"/>
  <c r="K13" i="12" s="1"/>
  <c r="B42" i="11"/>
  <c r="B41" i="11"/>
  <c r="B40" i="11"/>
  <c r="G40" i="11" s="1"/>
  <c r="B35" i="11"/>
  <c r="B34" i="11"/>
  <c r="B33" i="11"/>
  <c r="G33" i="11" s="1"/>
  <c r="N26" i="3"/>
  <c r="N25" i="3"/>
  <c r="N24" i="3"/>
  <c r="N23" i="3"/>
  <c r="O26" i="3"/>
  <c r="S26" i="3" s="1"/>
  <c r="I26" i="3"/>
  <c r="H26" i="3"/>
  <c r="C26" i="3"/>
  <c r="B26" i="3"/>
  <c r="O25" i="3"/>
  <c r="S25" i="3" s="1"/>
  <c r="I25" i="3"/>
  <c r="H25" i="3"/>
  <c r="B25" i="3" s="1"/>
  <c r="C25" i="3"/>
  <c r="O24" i="3"/>
  <c r="S24" i="3" s="1"/>
  <c r="I24" i="3"/>
  <c r="H24" i="3"/>
  <c r="C24" i="3"/>
  <c r="B24" i="3"/>
  <c r="N15" i="3"/>
  <c r="N14" i="3"/>
  <c r="N13" i="3"/>
  <c r="N12" i="3"/>
  <c r="I17" i="3"/>
  <c r="S15" i="3"/>
  <c r="I15" i="3"/>
  <c r="H15" i="3"/>
  <c r="B15" i="3" s="1"/>
  <c r="C15" i="3"/>
  <c r="S14" i="3"/>
  <c r="I14" i="3"/>
  <c r="H14" i="3"/>
  <c r="B14" i="3" s="1"/>
  <c r="C14" i="3"/>
  <c r="O13" i="3"/>
  <c r="S13" i="3" s="1"/>
  <c r="I13" i="3"/>
  <c r="H13" i="3"/>
  <c r="B13" i="3" s="1"/>
  <c r="C13" i="3"/>
  <c r="B46" i="11"/>
  <c r="B45" i="11"/>
  <c r="B44" i="11"/>
  <c r="B43" i="11"/>
  <c r="B39" i="11"/>
  <c r="B38" i="11"/>
  <c r="B37" i="11"/>
  <c r="B36" i="11"/>
  <c r="B32" i="11"/>
  <c r="B31" i="11"/>
  <c r="E54" i="3"/>
  <c r="E53" i="3"/>
  <c r="E52" i="3"/>
  <c r="D54" i="12"/>
  <c r="D53" i="12"/>
  <c r="D52" i="12"/>
  <c r="M34" i="12"/>
  <c r="M33" i="12"/>
  <c r="M29" i="12"/>
  <c r="M28" i="12"/>
  <c r="R17" i="12"/>
  <c r="N17" i="12"/>
  <c r="G17" i="12"/>
  <c r="N34" i="3"/>
  <c r="N33" i="3"/>
  <c r="N29" i="3"/>
  <c r="N28" i="3"/>
  <c r="S17" i="3"/>
  <c r="AJ17" i="3" s="1"/>
  <c r="O17" i="3"/>
  <c r="H17" i="3"/>
  <c r="AG26" i="12" l="1"/>
  <c r="K24" i="12"/>
  <c r="L24" i="12"/>
  <c r="O24" i="12"/>
  <c r="P24" i="12"/>
  <c r="Q24" i="12" s="1"/>
  <c r="S24" i="12" s="1"/>
  <c r="O26" i="12"/>
  <c r="AB24" i="12"/>
  <c r="AC24" i="12" s="1"/>
  <c r="P26" i="12"/>
  <c r="Q26" i="12" s="1"/>
  <c r="S26" i="12" s="1"/>
  <c r="AG24" i="12"/>
  <c r="AB26" i="12"/>
  <c r="AC26" i="12" s="1"/>
  <c r="Y26" i="12" s="1"/>
  <c r="Z26" i="12" s="1"/>
  <c r="V25" i="12"/>
  <c r="K25" i="12"/>
  <c r="L25" i="12"/>
  <c r="AB25" i="12"/>
  <c r="AC25" i="12" s="1"/>
  <c r="V26" i="12"/>
  <c r="O25" i="12"/>
  <c r="P25" i="12"/>
  <c r="Q25" i="12" s="1"/>
  <c r="S25" i="12" s="1"/>
  <c r="K26" i="12"/>
  <c r="L13" i="12"/>
  <c r="O13" i="12"/>
  <c r="O15" i="12"/>
  <c r="P13" i="12"/>
  <c r="P15" i="12"/>
  <c r="AB13" i="12"/>
  <c r="AC13" i="12" s="1"/>
  <c r="Y13" i="12" s="1"/>
  <c r="AG15" i="12"/>
  <c r="AG13" i="12"/>
  <c r="V14" i="12"/>
  <c r="K14" i="12"/>
  <c r="L14" i="12"/>
  <c r="AB14" i="12"/>
  <c r="AC14" i="12" s="1"/>
  <c r="V15" i="12"/>
  <c r="O14" i="12"/>
  <c r="V13" i="12"/>
  <c r="P14" i="12"/>
  <c r="K15" i="12"/>
  <c r="L15" i="12"/>
  <c r="F41" i="11"/>
  <c r="G41" i="11"/>
  <c r="F42" i="11"/>
  <c r="G42" i="11"/>
  <c r="F40" i="11"/>
  <c r="F34" i="11"/>
  <c r="G34" i="11"/>
  <c r="F35" i="11"/>
  <c r="G35" i="11"/>
  <c r="F33" i="11"/>
  <c r="Y26" i="3"/>
  <c r="AJ26" i="3"/>
  <c r="AJ25" i="3"/>
  <c r="Y25" i="3"/>
  <c r="AJ24" i="3"/>
  <c r="Y24" i="3"/>
  <c r="AJ14" i="3"/>
  <c r="Y14" i="3"/>
  <c r="Y13" i="3"/>
  <c r="AJ13" i="3"/>
  <c r="Y15" i="3"/>
  <c r="AJ15" i="3"/>
  <c r="Y17" i="3"/>
  <c r="Q15" i="12" l="1"/>
  <c r="S15" i="12" s="1"/>
  <c r="X15" i="12" s="1"/>
  <c r="X26" i="12"/>
  <c r="AI26" i="12"/>
  <c r="AL26" i="12" s="1"/>
  <c r="X24" i="12"/>
  <c r="AI24" i="12"/>
  <c r="AL24" i="12" s="1"/>
  <c r="T24" i="12"/>
  <c r="AD24" i="12" s="1"/>
  <c r="Y24" i="12"/>
  <c r="Z24" i="12" s="1"/>
  <c r="T26" i="12"/>
  <c r="AD26" i="12" s="1"/>
  <c r="AO26" i="12"/>
  <c r="AO24" i="12"/>
  <c r="X25" i="12"/>
  <c r="AI25" i="12"/>
  <c r="Y25" i="12"/>
  <c r="Z25" i="12" s="1"/>
  <c r="T25" i="12"/>
  <c r="Q13" i="12"/>
  <c r="S13" i="12" s="1"/>
  <c r="Z13" i="12" s="1"/>
  <c r="Q14" i="12"/>
  <c r="S14" i="12" s="1"/>
  <c r="T14" i="12" s="1"/>
  <c r="AD14" i="12" s="1"/>
  <c r="Y14" i="12"/>
  <c r="Y15" i="12"/>
  <c r="Z15" i="12" s="1"/>
  <c r="AM26" i="3"/>
  <c r="AM24" i="3"/>
  <c r="AM25" i="3"/>
  <c r="C53" i="8"/>
  <c r="D53" i="8"/>
  <c r="C54" i="8"/>
  <c r="C55" i="8" s="1"/>
  <c r="C56" i="8" s="1"/>
  <c r="D54" i="8"/>
  <c r="D55" i="8" s="1"/>
  <c r="D56" i="8" s="1"/>
  <c r="D52" i="8"/>
  <c r="C52" i="8"/>
  <c r="N18" i="3"/>
  <c r="N19" i="3"/>
  <c r="N27" i="3"/>
  <c r="N32" i="3"/>
  <c r="AC49" i="12"/>
  <c r="AC48" i="12"/>
  <c r="AC47" i="12"/>
  <c r="AC46" i="12"/>
  <c r="AC45" i="12"/>
  <c r="AC44" i="12"/>
  <c r="E7" i="8"/>
  <c r="G7" i="8" s="1"/>
  <c r="AD49" i="3"/>
  <c r="AD48" i="3"/>
  <c r="AD47" i="3"/>
  <c r="AD46" i="3"/>
  <c r="AD45" i="3"/>
  <c r="AD44" i="3"/>
  <c r="X13" i="12" l="1"/>
  <c r="AI13" i="12"/>
  <c r="AI15" i="12"/>
  <c r="T15" i="12"/>
  <c r="AD15" i="12" s="1"/>
  <c r="AJ15" i="12" s="1"/>
  <c r="T13" i="12"/>
  <c r="AD13" i="12" s="1"/>
  <c r="AM13" i="12"/>
  <c r="X14" i="12"/>
  <c r="AI14" i="12"/>
  <c r="AK24" i="12"/>
  <c r="AN24" i="12"/>
  <c r="AJ24" i="12"/>
  <c r="AM24" i="12"/>
  <c r="AL25" i="12"/>
  <c r="AN26" i="12"/>
  <c r="AK26" i="12"/>
  <c r="AO25" i="12"/>
  <c r="AM26" i="12"/>
  <c r="AD25" i="12"/>
  <c r="AJ26" i="12"/>
  <c r="Z14" i="12"/>
  <c r="AM14" i="12" s="1"/>
  <c r="AJ14" i="12"/>
  <c r="E8" i="8"/>
  <c r="E9" i="8" s="1"/>
  <c r="E10" i="8"/>
  <c r="G9" i="8"/>
  <c r="G8" i="8"/>
  <c r="B6" i="11"/>
  <c r="B7" i="11"/>
  <c r="B8" i="11"/>
  <c r="B9" i="11"/>
  <c r="B10" i="11"/>
  <c r="B11" i="11"/>
  <c r="B12" i="11"/>
  <c r="B13" i="11"/>
  <c r="B14" i="11"/>
  <c r="B15" i="11"/>
  <c r="B16" i="11"/>
  <c r="B17" i="11"/>
  <c r="B18" i="11"/>
  <c r="B19" i="11"/>
  <c r="B20" i="11"/>
  <c r="B21" i="11"/>
  <c r="B22" i="11"/>
  <c r="B23" i="11"/>
  <c r="B24" i="11"/>
  <c r="B25" i="11"/>
  <c r="B5" i="3"/>
  <c r="B43" i="3"/>
  <c r="B44" i="3"/>
  <c r="B45" i="3"/>
  <c r="B46" i="3"/>
  <c r="B47" i="3"/>
  <c r="B48" i="3"/>
  <c r="B49" i="3"/>
  <c r="B5" i="11"/>
  <c r="AJ13" i="12" l="1"/>
  <c r="AM15" i="12"/>
  <c r="AN25" i="12"/>
  <c r="AK25" i="12"/>
  <c r="AM25" i="12"/>
  <c r="AJ25" i="12"/>
  <c r="E11" i="8"/>
  <c r="G10" i="8"/>
  <c r="F5" i="11"/>
  <c r="D57" i="12"/>
  <c r="D56" i="12"/>
  <c r="Y49" i="12"/>
  <c r="Z49" i="12" s="1"/>
  <c r="X49" i="12"/>
  <c r="T49" i="12"/>
  <c r="Y48" i="12"/>
  <c r="Z48" i="12" s="1"/>
  <c r="X48" i="12"/>
  <c r="T48" i="12"/>
  <c r="Y47" i="12"/>
  <c r="Z47" i="12" s="1"/>
  <c r="X47" i="12"/>
  <c r="T47" i="12"/>
  <c r="Y46" i="12"/>
  <c r="Z46" i="12" s="1"/>
  <c r="X46" i="12"/>
  <c r="T46" i="12"/>
  <c r="Y45" i="12"/>
  <c r="Z45" i="12" s="1"/>
  <c r="X45" i="12"/>
  <c r="T45" i="12"/>
  <c r="Y44" i="12"/>
  <c r="Z44" i="12" s="1"/>
  <c r="X44" i="12"/>
  <c r="T44" i="12"/>
  <c r="N42" i="12"/>
  <c r="R42" i="12" s="1"/>
  <c r="H42" i="12"/>
  <c r="G42" i="12"/>
  <c r="B42" i="12"/>
  <c r="N41" i="12"/>
  <c r="R41" i="12" s="1"/>
  <c r="H41" i="12"/>
  <c r="G41" i="12"/>
  <c r="B41" i="12"/>
  <c r="N40" i="12"/>
  <c r="R40" i="12" s="1"/>
  <c r="H40" i="12"/>
  <c r="G40" i="12"/>
  <c r="B40" i="12"/>
  <c r="N39" i="12"/>
  <c r="R39" i="12" s="1"/>
  <c r="H39" i="12"/>
  <c r="G39" i="12"/>
  <c r="B39" i="12"/>
  <c r="N38" i="12"/>
  <c r="R38" i="12" s="1"/>
  <c r="H38" i="12"/>
  <c r="G38" i="12"/>
  <c r="B38" i="12"/>
  <c r="N37" i="12"/>
  <c r="R37" i="12" s="1"/>
  <c r="H37" i="12"/>
  <c r="G37" i="12"/>
  <c r="B37" i="12"/>
  <c r="N36" i="12"/>
  <c r="R36" i="12" s="1"/>
  <c r="H36" i="12"/>
  <c r="G36" i="12"/>
  <c r="B36" i="12"/>
  <c r="N35" i="12"/>
  <c r="R35" i="12" s="1"/>
  <c r="H35" i="12"/>
  <c r="G35" i="12"/>
  <c r="B35" i="12"/>
  <c r="N34" i="12"/>
  <c r="R34" i="12" s="1"/>
  <c r="H34" i="12"/>
  <c r="G34" i="12"/>
  <c r="B34" i="12"/>
  <c r="N33" i="12"/>
  <c r="R33" i="12" s="1"/>
  <c r="H33" i="12"/>
  <c r="G33" i="12"/>
  <c r="B33" i="12"/>
  <c r="N32" i="12"/>
  <c r="R32" i="12" s="1"/>
  <c r="M32" i="12"/>
  <c r="H32" i="12"/>
  <c r="G32" i="12"/>
  <c r="B32" i="12"/>
  <c r="N31" i="12"/>
  <c r="H31" i="12"/>
  <c r="G31" i="12"/>
  <c r="B31" i="12"/>
  <c r="N30" i="12"/>
  <c r="R30" i="12" s="1"/>
  <c r="H30" i="12"/>
  <c r="G30" i="12"/>
  <c r="B30" i="12"/>
  <c r="N29" i="12"/>
  <c r="R29" i="12" s="1"/>
  <c r="H29" i="12"/>
  <c r="G29" i="12"/>
  <c r="B29" i="12"/>
  <c r="N28" i="12"/>
  <c r="R28" i="12" s="1"/>
  <c r="H28" i="12"/>
  <c r="G28" i="12"/>
  <c r="B28" i="12"/>
  <c r="N27" i="12"/>
  <c r="R27" i="12" s="1"/>
  <c r="M27" i="12"/>
  <c r="H27" i="12"/>
  <c r="G27" i="12"/>
  <c r="B27" i="12"/>
  <c r="N23" i="12"/>
  <c r="R23" i="12" s="1"/>
  <c r="H23" i="12"/>
  <c r="G23" i="12"/>
  <c r="B23" i="12"/>
  <c r="N22" i="12"/>
  <c r="R22" i="12" s="1"/>
  <c r="H22" i="12"/>
  <c r="G22" i="12"/>
  <c r="B22" i="12"/>
  <c r="N21" i="12"/>
  <c r="R21" i="12" s="1"/>
  <c r="H21" i="12"/>
  <c r="G21" i="12"/>
  <c r="B21" i="12"/>
  <c r="N20" i="12"/>
  <c r="R20" i="12" s="1"/>
  <c r="H20" i="12"/>
  <c r="G20" i="12"/>
  <c r="B20" i="12"/>
  <c r="N19" i="12"/>
  <c r="R19" i="12" s="1"/>
  <c r="M19" i="12"/>
  <c r="H19" i="12"/>
  <c r="G19" i="12"/>
  <c r="B19" i="12"/>
  <c r="N18" i="12"/>
  <c r="R18" i="12" s="1"/>
  <c r="M18" i="12"/>
  <c r="H18" i="12"/>
  <c r="G18" i="12"/>
  <c r="B18" i="12"/>
  <c r="N16" i="12"/>
  <c r="H16" i="12"/>
  <c r="G16" i="12"/>
  <c r="B16" i="12"/>
  <c r="N12" i="12"/>
  <c r="R12" i="12" s="1"/>
  <c r="G12" i="12"/>
  <c r="B12" i="12"/>
  <c r="N11" i="12"/>
  <c r="R11" i="12" s="1"/>
  <c r="H11" i="12"/>
  <c r="G11" i="12"/>
  <c r="B11" i="12"/>
  <c r="N10" i="12"/>
  <c r="R10" i="12" s="1"/>
  <c r="H10" i="12"/>
  <c r="G10" i="12"/>
  <c r="B10" i="12"/>
  <c r="N9" i="12"/>
  <c r="R9" i="12" s="1"/>
  <c r="H9" i="12"/>
  <c r="G9" i="12"/>
  <c r="B9" i="12"/>
  <c r="N8" i="12"/>
  <c r="R8" i="12" s="1"/>
  <c r="H8" i="12"/>
  <c r="G8" i="12"/>
  <c r="B8" i="12"/>
  <c r="N7" i="12"/>
  <c r="R7" i="12" s="1"/>
  <c r="H7" i="12"/>
  <c r="G7" i="12"/>
  <c r="B7" i="12"/>
  <c r="N6" i="12"/>
  <c r="H6" i="12"/>
  <c r="G6" i="12"/>
  <c r="B6" i="12"/>
  <c r="N5" i="12"/>
  <c r="R5" i="12" s="1"/>
  <c r="H5" i="12"/>
  <c r="B5" i="12"/>
  <c r="L5" i="12" s="1"/>
  <c r="AD46" i="12" l="1"/>
  <c r="AJ46" i="12" s="1"/>
  <c r="AD45" i="12"/>
  <c r="AJ45" i="12" s="1"/>
  <c r="E12" i="8"/>
  <c r="G11" i="8"/>
  <c r="V5" i="12"/>
  <c r="AB5" i="12"/>
  <c r="AC5" i="12" s="1"/>
  <c r="Y5" i="12" s="1"/>
  <c r="AG5" i="12"/>
  <c r="K5" i="12"/>
  <c r="O5" i="12"/>
  <c r="P5" i="12"/>
  <c r="L6" i="12"/>
  <c r="V6" i="12"/>
  <c r="O6" i="12"/>
  <c r="R6" i="12" s="1"/>
  <c r="P6" i="12"/>
  <c r="K6" i="12"/>
  <c r="M6" i="12" s="1"/>
  <c r="AE45" i="12"/>
  <c r="AL45" i="12" s="1"/>
  <c r="H50" i="12"/>
  <c r="AB6" i="12"/>
  <c r="AC6" i="12" s="1"/>
  <c r="AD48" i="12"/>
  <c r="AE48" i="12"/>
  <c r="AL48" i="12" s="1"/>
  <c r="AE46" i="12"/>
  <c r="AL46" i="12" s="1"/>
  <c r="AE44" i="12"/>
  <c r="AO44" i="12" s="1"/>
  <c r="AG6" i="12"/>
  <c r="AD49" i="12"/>
  <c r="AE49" i="12"/>
  <c r="AL49" i="12" s="1"/>
  <c r="AD44" i="12"/>
  <c r="AD47" i="12"/>
  <c r="AE47" i="12"/>
  <c r="AO47" i="12" s="1"/>
  <c r="H7" i="3"/>
  <c r="B7" i="3" s="1"/>
  <c r="H8" i="3"/>
  <c r="B8" i="3" s="1"/>
  <c r="H9" i="3"/>
  <c r="B9" i="3" s="1"/>
  <c r="H10" i="3"/>
  <c r="B10" i="3" s="1"/>
  <c r="H11" i="3"/>
  <c r="B11" i="3" s="1"/>
  <c r="H12" i="3"/>
  <c r="B12" i="3" s="1"/>
  <c r="H16" i="3"/>
  <c r="B16" i="3" s="1"/>
  <c r="H18" i="3"/>
  <c r="B18" i="3" s="1"/>
  <c r="H19" i="3"/>
  <c r="B19" i="3" s="1"/>
  <c r="H20" i="3"/>
  <c r="B20" i="3" s="1"/>
  <c r="H21" i="3"/>
  <c r="B21" i="3" s="1"/>
  <c r="H22" i="3"/>
  <c r="B22" i="3" s="1"/>
  <c r="H23" i="3"/>
  <c r="B23" i="3" s="1"/>
  <c r="H27" i="3"/>
  <c r="B27" i="3" s="1"/>
  <c r="H28" i="3"/>
  <c r="B28" i="3" s="1"/>
  <c r="H29" i="3"/>
  <c r="B29" i="3" s="1"/>
  <c r="H30" i="3"/>
  <c r="B30" i="3" s="1"/>
  <c r="H31" i="3"/>
  <c r="B31" i="3" s="1"/>
  <c r="H32" i="3"/>
  <c r="B32" i="3" s="1"/>
  <c r="H33" i="3"/>
  <c r="B33" i="3" s="1"/>
  <c r="H34" i="3"/>
  <c r="B34" i="3" s="1"/>
  <c r="H35" i="3"/>
  <c r="B35" i="3" s="1"/>
  <c r="H36" i="3"/>
  <c r="B36" i="3" s="1"/>
  <c r="H37" i="3"/>
  <c r="B37" i="3" s="1"/>
  <c r="H38" i="3"/>
  <c r="B38" i="3" s="1"/>
  <c r="H39" i="3"/>
  <c r="B39" i="3" s="1"/>
  <c r="H40" i="3"/>
  <c r="B40" i="3" s="1"/>
  <c r="H41" i="3"/>
  <c r="B41" i="3" s="1"/>
  <c r="H42" i="3"/>
  <c r="B42" i="3" s="1"/>
  <c r="H6" i="3"/>
  <c r="B6" i="3" s="1"/>
  <c r="AM46" i="12" l="1"/>
  <c r="AM45" i="12"/>
  <c r="F31" i="11"/>
  <c r="G32" i="11"/>
  <c r="I32" i="11"/>
  <c r="F38" i="11"/>
  <c r="F44" i="11"/>
  <c r="F45" i="11"/>
  <c r="G36" i="11"/>
  <c r="G37" i="11"/>
  <c r="G46" i="11"/>
  <c r="F37" i="11"/>
  <c r="F32" i="11"/>
  <c r="I37" i="11"/>
  <c r="F36" i="11"/>
  <c r="F39" i="11"/>
  <c r="G44" i="11"/>
  <c r="G43" i="11"/>
  <c r="G38" i="11"/>
  <c r="G45" i="11"/>
  <c r="G39" i="11"/>
  <c r="F46" i="11"/>
  <c r="F43" i="11"/>
  <c r="G31" i="11"/>
  <c r="AL47" i="12"/>
  <c r="AO48" i="12"/>
  <c r="AO49" i="12"/>
  <c r="AO45" i="12"/>
  <c r="AL44" i="12"/>
  <c r="AK46" i="12"/>
  <c r="AO46" i="12"/>
  <c r="E13" i="8"/>
  <c r="G12" i="8"/>
  <c r="AN45" i="12"/>
  <c r="AK45" i="12"/>
  <c r="Q5" i="12"/>
  <c r="S5" i="12" s="1"/>
  <c r="Q6" i="12"/>
  <c r="F21" i="11"/>
  <c r="F22" i="11"/>
  <c r="G25" i="11"/>
  <c r="F13" i="11"/>
  <c r="G11" i="11"/>
  <c r="F7" i="11"/>
  <c r="G20" i="11"/>
  <c r="G6" i="11"/>
  <c r="F16" i="11"/>
  <c r="F6" i="11"/>
  <c r="G24" i="11"/>
  <c r="G22" i="11"/>
  <c r="G19" i="11"/>
  <c r="G18" i="11"/>
  <c r="G15" i="11"/>
  <c r="F23" i="11"/>
  <c r="F9" i="11"/>
  <c r="F20" i="11"/>
  <c r="F19" i="11"/>
  <c r="G21" i="11"/>
  <c r="G10" i="11"/>
  <c r="F10" i="11"/>
  <c r="F18" i="11"/>
  <c r="G16" i="11"/>
  <c r="G23" i="11"/>
  <c r="F25" i="11"/>
  <c r="F14" i="11"/>
  <c r="G13" i="11"/>
  <c r="G14" i="11"/>
  <c r="F17" i="11"/>
  <c r="F24" i="11"/>
  <c r="F8" i="11"/>
  <c r="F12" i="11"/>
  <c r="G12" i="11"/>
  <c r="F15" i="11"/>
  <c r="F11" i="11"/>
  <c r="AJ48" i="12"/>
  <c r="AM48" i="12"/>
  <c r="AK48" i="12"/>
  <c r="AN48" i="12"/>
  <c r="AJ47" i="12"/>
  <c r="AK47" i="12"/>
  <c r="AM47" i="12"/>
  <c r="AN47" i="12"/>
  <c r="AJ49" i="12"/>
  <c r="AN49" i="12"/>
  <c r="AM49" i="12"/>
  <c r="AK49" i="12"/>
  <c r="AJ44" i="12"/>
  <c r="AN44" i="12"/>
  <c r="AM44" i="12"/>
  <c r="AK44" i="12"/>
  <c r="AN46" i="12"/>
  <c r="Y6" i="12"/>
  <c r="C5" i="3"/>
  <c r="Q5" i="3" s="1"/>
  <c r="C6" i="3"/>
  <c r="Q6" i="3" s="1"/>
  <c r="C7" i="3"/>
  <c r="C8" i="3"/>
  <c r="C9" i="3"/>
  <c r="C10" i="3"/>
  <c r="C11" i="3"/>
  <c r="C12" i="3"/>
  <c r="C16" i="3"/>
  <c r="C18" i="3"/>
  <c r="C19" i="3"/>
  <c r="C20" i="3"/>
  <c r="C21" i="3"/>
  <c r="C22" i="3"/>
  <c r="C23" i="3"/>
  <c r="C27" i="3"/>
  <c r="C28" i="3"/>
  <c r="C29" i="3"/>
  <c r="C30" i="3"/>
  <c r="C31" i="3"/>
  <c r="C32" i="3"/>
  <c r="C33" i="3"/>
  <c r="C34" i="3"/>
  <c r="C35" i="3"/>
  <c r="C36" i="3"/>
  <c r="C37" i="3"/>
  <c r="C38" i="3"/>
  <c r="C39" i="3"/>
  <c r="C40" i="3"/>
  <c r="C41" i="3"/>
  <c r="C42" i="3"/>
  <c r="S6" i="12" l="1"/>
  <c r="T6" i="12" s="1"/>
  <c r="X5" i="12"/>
  <c r="Z5" i="12"/>
  <c r="T5" i="12"/>
  <c r="AI5" i="12"/>
  <c r="G13" i="8"/>
  <c r="E14" i="8"/>
  <c r="AC22" i="3"/>
  <c r="AD22" i="3" s="1"/>
  <c r="AH12" i="3"/>
  <c r="AC12" i="3"/>
  <c r="AD12" i="3" s="1"/>
  <c r="AH5" i="3"/>
  <c r="G5" i="11" s="1"/>
  <c r="AC5" i="3"/>
  <c r="AD5" i="3" s="1"/>
  <c r="W16" i="3"/>
  <c r="L6" i="3"/>
  <c r="N6" i="3" s="1"/>
  <c r="AH6" i="3"/>
  <c r="AC6" i="3"/>
  <c r="AD6" i="3" s="1"/>
  <c r="M5" i="3"/>
  <c r="W5" i="3"/>
  <c r="L5" i="3"/>
  <c r="P5" i="3"/>
  <c r="R5" i="3" s="1"/>
  <c r="W6" i="3"/>
  <c r="P6" i="3"/>
  <c r="S6" i="3" s="1"/>
  <c r="M6" i="3"/>
  <c r="E57" i="3"/>
  <c r="E56" i="3"/>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AO2" i="9"/>
  <c r="AO3" i="9"/>
  <c r="AO4" i="9"/>
  <c r="AO5" i="9"/>
  <c r="AO6" i="9"/>
  <c r="AO7" i="9"/>
  <c r="AO8" i="9"/>
  <c r="AO9" i="9"/>
  <c r="AO10" i="9"/>
  <c r="AO11" i="9"/>
  <c r="AO12" i="9"/>
  <c r="AO13" i="9"/>
  <c r="AO14" i="9"/>
  <c r="AO15" i="9"/>
  <c r="AO16" i="9"/>
  <c r="AO17" i="9"/>
  <c r="AO18" i="9"/>
  <c r="AO19" i="9"/>
  <c r="AO20" i="9"/>
  <c r="AO21" i="9"/>
  <c r="AO22" i="9"/>
  <c r="AO23" i="9"/>
  <c r="AO24" i="9"/>
  <c r="AO25" i="9"/>
  <c r="AO26" i="9"/>
  <c r="AO27" i="9"/>
  <c r="AO28" i="9"/>
  <c r="AO29" i="9"/>
  <c r="AO30" i="9"/>
  <c r="AO31" i="9"/>
  <c r="AO32" i="9"/>
  <c r="AO33" i="9"/>
  <c r="AO34" i="9"/>
  <c r="AO35" i="9"/>
  <c r="AO36" i="9"/>
  <c r="AO37" i="9"/>
  <c r="AO38" i="9"/>
  <c r="AO39" i="9"/>
  <c r="AO40" i="9"/>
  <c r="AO41" i="9"/>
  <c r="AO42" i="9"/>
  <c r="AO43" i="9"/>
  <c r="AO44" i="9"/>
  <c r="AO45" i="9"/>
  <c r="AO46" i="9"/>
  <c r="AO47" i="9"/>
  <c r="AO48" i="9"/>
  <c r="AO49" i="9"/>
  <c r="AO50" i="9"/>
  <c r="AO51" i="9"/>
  <c r="AO52" i="9"/>
  <c r="AO53" i="9"/>
  <c r="AO54" i="9"/>
  <c r="AO55" i="9"/>
  <c r="AO56" i="9"/>
  <c r="AO57" i="9"/>
  <c r="AO58" i="9"/>
  <c r="AO59" i="9"/>
  <c r="AO60" i="9"/>
  <c r="AO61" i="9"/>
  <c r="AO62" i="9"/>
  <c r="AO63" i="9"/>
  <c r="AO64" i="9"/>
  <c r="AO65" i="9"/>
  <c r="AO66" i="9"/>
  <c r="AO67" i="9"/>
  <c r="AO68" i="9"/>
  <c r="AO69" i="9"/>
  <c r="AO70" i="9"/>
  <c r="AO71" i="9"/>
  <c r="AO72" i="9"/>
  <c r="AO73" i="9"/>
  <c r="AO74" i="9"/>
  <c r="AO75" i="9"/>
  <c r="AO76" i="9"/>
  <c r="AO77" i="9"/>
  <c r="AO78" i="9"/>
  <c r="AO79" i="9"/>
  <c r="AO80" i="9"/>
  <c r="AO81" i="9"/>
  <c r="AO82" i="9"/>
  <c r="AO83" i="9"/>
  <c r="AO84"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141" i="9"/>
  <c r="AO142" i="9"/>
  <c r="AO143" i="9"/>
  <c r="AO144" i="9"/>
  <c r="AO145" i="9"/>
  <c r="AO146" i="9"/>
  <c r="AO147" i="9"/>
  <c r="AO148" i="9"/>
  <c r="AO149" i="9"/>
  <c r="AO150" i="9"/>
  <c r="AO151" i="9"/>
  <c r="AO152" i="9"/>
  <c r="AO153" i="9"/>
  <c r="AO154" i="9"/>
  <c r="AO155" i="9"/>
  <c r="AO156" i="9"/>
  <c r="AO157" i="9"/>
  <c r="AO158" i="9"/>
  <c r="AO159" i="9"/>
  <c r="AO160" i="9"/>
  <c r="AO161" i="9"/>
  <c r="AO162" i="9"/>
  <c r="AO163" i="9"/>
  <c r="AO164" i="9"/>
  <c r="AO165" i="9"/>
  <c r="AO166" i="9"/>
  <c r="AO167" i="9"/>
  <c r="AO168" i="9"/>
  <c r="AO169" i="9"/>
  <c r="AO170" i="9"/>
  <c r="AO171" i="9"/>
  <c r="AO172" i="9"/>
  <c r="AO173" i="9"/>
  <c r="AO174" i="9"/>
  <c r="AO175" i="9"/>
  <c r="AO176" i="9"/>
  <c r="AO177" i="9"/>
  <c r="AO178" i="9"/>
  <c r="AO179" i="9"/>
  <c r="AO180" i="9"/>
  <c r="AO181" i="9"/>
  <c r="AO182" i="9"/>
  <c r="AO183" i="9"/>
  <c r="AO184" i="9"/>
  <c r="AO185" i="9"/>
  <c r="AO186" i="9"/>
  <c r="AO187" i="9"/>
  <c r="AO188" i="9"/>
  <c r="AO189" i="9"/>
  <c r="AO190" i="9"/>
  <c r="AO191" i="9"/>
  <c r="AO192" i="9"/>
  <c r="AO193" i="9"/>
  <c r="AO194" i="9"/>
  <c r="AO195" i="9"/>
  <c r="AO196" i="9"/>
  <c r="AO197" i="9"/>
  <c r="AO198" i="9"/>
  <c r="AO199" i="9"/>
  <c r="AO200" i="9"/>
  <c r="AO201" i="9"/>
  <c r="AO202" i="9"/>
  <c r="AO203" i="9"/>
  <c r="AO204" i="9"/>
  <c r="AO205" i="9"/>
  <c r="AO206" i="9"/>
  <c r="AO207" i="9"/>
  <c r="AO208" i="9"/>
  <c r="AO209" i="9"/>
  <c r="AO210" i="9"/>
  <c r="AO211" i="9"/>
  <c r="AO212" i="9"/>
  <c r="AO213" i="9"/>
  <c r="AO214" i="9"/>
  <c r="AO215" i="9"/>
  <c r="AO216" i="9"/>
  <c r="AO217" i="9"/>
  <c r="AO218" i="9"/>
  <c r="AO219" i="9"/>
  <c r="AO220" i="9"/>
  <c r="AO221" i="9"/>
  <c r="AO222" i="9"/>
  <c r="AO223" i="9"/>
  <c r="AO224" i="9"/>
  <c r="AO225" i="9"/>
  <c r="AO226" i="9"/>
  <c r="AO227" i="9"/>
  <c r="AO228" i="9"/>
  <c r="AO229" i="9"/>
  <c r="AO230" i="9"/>
  <c r="AO231" i="9"/>
  <c r="AO232" i="9"/>
  <c r="AO233" i="9"/>
  <c r="AO234" i="9"/>
  <c r="AO235" i="9"/>
  <c r="AO236" i="9"/>
  <c r="AO237" i="9"/>
  <c r="AO238" i="9"/>
  <c r="AO239" i="9"/>
  <c r="AO240" i="9"/>
  <c r="AO241" i="9"/>
  <c r="AO242" i="9"/>
  <c r="AO243" i="9"/>
  <c r="AO244" i="9"/>
  <c r="AO245" i="9"/>
  <c r="AO246" i="9"/>
  <c r="AO247" i="9"/>
  <c r="AO248" i="9"/>
  <c r="AO249" i="9"/>
  <c r="AO250" i="9"/>
  <c r="AO251" i="9"/>
  <c r="AO252" i="9"/>
  <c r="AO253" i="9"/>
  <c r="AO254" i="9"/>
  <c r="AO255" i="9"/>
  <c r="AO256" i="9"/>
  <c r="AO257" i="9"/>
  <c r="AO258" i="9"/>
  <c r="AO259" i="9"/>
  <c r="AO260" i="9"/>
  <c r="AO261" i="9"/>
  <c r="AO262" i="9"/>
  <c r="AO263" i="9"/>
  <c r="AO264" i="9"/>
  <c r="AO265" i="9"/>
  <c r="AO266" i="9"/>
  <c r="AO267" i="9"/>
  <c r="AO268" i="9"/>
  <c r="AO269" i="9"/>
  <c r="AO270" i="9"/>
  <c r="AO271" i="9"/>
  <c r="AO272" i="9"/>
  <c r="AO273" i="9"/>
  <c r="AO274" i="9"/>
  <c r="AO275" i="9"/>
  <c r="AO276" i="9"/>
  <c r="AO277" i="9"/>
  <c r="AO278" i="9"/>
  <c r="AO279" i="9"/>
  <c r="AO280" i="9"/>
  <c r="AO281" i="9"/>
  <c r="AO282" i="9"/>
  <c r="AO283" i="9"/>
  <c r="AO284" i="9"/>
  <c r="AO285" i="9"/>
  <c r="Z45" i="3"/>
  <c r="Z46" i="3"/>
  <c r="Z47" i="3"/>
  <c r="Z48" i="3"/>
  <c r="Z49" i="3"/>
  <c r="AA49" i="3" s="1"/>
  <c r="Y45" i="3"/>
  <c r="Y46" i="3"/>
  <c r="Y47" i="3"/>
  <c r="Y48" i="3"/>
  <c r="Y49" i="3"/>
  <c r="U49" i="3"/>
  <c r="AH25" i="3" l="1"/>
  <c r="AC25" i="3"/>
  <c r="AD25" i="3" s="1"/>
  <c r="W25" i="3"/>
  <c r="Q25" i="3"/>
  <c r="P24" i="3"/>
  <c r="AC24" i="3"/>
  <c r="AD24" i="3" s="1"/>
  <c r="AC26" i="3"/>
  <c r="AD26" i="3" s="1"/>
  <c r="L26" i="3"/>
  <c r="P25" i="3"/>
  <c r="M26" i="3"/>
  <c r="L25" i="3"/>
  <c r="U25" i="3" s="1"/>
  <c r="M25" i="3"/>
  <c r="P26" i="3"/>
  <c r="Q26" i="3"/>
  <c r="R26" i="3" s="1"/>
  <c r="T26" i="3" s="1"/>
  <c r="W24" i="3"/>
  <c r="AH26" i="3"/>
  <c r="L24" i="3"/>
  <c r="U24" i="3" s="1"/>
  <c r="Q24" i="3"/>
  <c r="R24" i="3" s="1"/>
  <c r="T24" i="3" s="1"/>
  <c r="W26" i="3"/>
  <c r="AH24" i="3"/>
  <c r="M24" i="3"/>
  <c r="AC37" i="3"/>
  <c r="AD37" i="3" s="1"/>
  <c r="AC29" i="3"/>
  <c r="AD29" i="3" s="1"/>
  <c r="Z29" i="3" s="1"/>
  <c r="W22" i="3"/>
  <c r="P34" i="3"/>
  <c r="M35" i="3"/>
  <c r="L33" i="3"/>
  <c r="AC33" i="3"/>
  <c r="AD33" i="3" s="1"/>
  <c r="Z33" i="3" s="1"/>
  <c r="AH31" i="3"/>
  <c r="Q20" i="3"/>
  <c r="L37" i="3"/>
  <c r="N37" i="3" s="1"/>
  <c r="AH37" i="3"/>
  <c r="W37" i="3"/>
  <c r="Q22" i="3"/>
  <c r="M13" i="3"/>
  <c r="P15" i="3"/>
  <c r="Q15" i="3"/>
  <c r="AC15" i="3"/>
  <c r="AD15" i="3" s="1"/>
  <c r="AH15" i="3"/>
  <c r="W14" i="3"/>
  <c r="P13" i="3"/>
  <c r="L14" i="3"/>
  <c r="Q13" i="3"/>
  <c r="R13" i="3" s="1"/>
  <c r="T13" i="3" s="1"/>
  <c r="M14" i="3"/>
  <c r="AC13" i="3"/>
  <c r="AD13" i="3" s="1"/>
  <c r="AC14" i="3"/>
  <c r="AD14" i="3" s="1"/>
  <c r="AH13" i="3"/>
  <c r="W13" i="3"/>
  <c r="P14" i="3"/>
  <c r="AH14" i="3"/>
  <c r="W15" i="3"/>
  <c r="M15" i="3"/>
  <c r="Q14" i="3"/>
  <c r="L13" i="3"/>
  <c r="U13" i="3" s="1"/>
  <c r="L15" i="3"/>
  <c r="L22" i="3"/>
  <c r="N22" i="3" s="1"/>
  <c r="Z22" i="3" s="1"/>
  <c r="AH22" i="3"/>
  <c r="Q35" i="3"/>
  <c r="L19" i="3"/>
  <c r="W29" i="3"/>
  <c r="Q10" i="3"/>
  <c r="P16" i="3"/>
  <c r="S16" i="3" s="1"/>
  <c r="AC38" i="3"/>
  <c r="AD38" i="3" s="1"/>
  <c r="AC8" i="3"/>
  <c r="AD8" i="3" s="1"/>
  <c r="AH33" i="3"/>
  <c r="P37" i="3"/>
  <c r="M37" i="3"/>
  <c r="L39" i="3"/>
  <c r="AC16" i="3"/>
  <c r="AD16" i="3" s="1"/>
  <c r="L8" i="3"/>
  <c r="N8" i="3" s="1"/>
  <c r="Z8" i="3" s="1"/>
  <c r="M39" i="3"/>
  <c r="AH16" i="3"/>
  <c r="AC7" i="3"/>
  <c r="AD7" i="3" s="1"/>
  <c r="AD6" i="12"/>
  <c r="W11" i="3"/>
  <c r="L40" i="3"/>
  <c r="N40" i="3" s="1"/>
  <c r="AH35" i="3"/>
  <c r="L31" i="3"/>
  <c r="N31" i="3" s="1"/>
  <c r="U31" i="3" s="1"/>
  <c r="L34" i="3"/>
  <c r="W42" i="3"/>
  <c r="P29" i="3"/>
  <c r="W40" i="3"/>
  <c r="L7" i="3"/>
  <c r="N7" i="3" s="1"/>
  <c r="AC36" i="3"/>
  <c r="AD36" i="3" s="1"/>
  <c r="Z36" i="3" s="1"/>
  <c r="W36" i="3"/>
  <c r="M40" i="3"/>
  <c r="P40" i="3"/>
  <c r="P38" i="3"/>
  <c r="M23" i="3"/>
  <c r="W35" i="3"/>
  <c r="Q32" i="3"/>
  <c r="W34" i="3"/>
  <c r="AC31" i="3"/>
  <c r="AD31" i="3" s="1"/>
  <c r="Z31" i="3" s="1"/>
  <c r="P7" i="3"/>
  <c r="W31" i="3"/>
  <c r="W38" i="3"/>
  <c r="P39" i="3"/>
  <c r="W33" i="3"/>
  <c r="M38" i="3"/>
  <c r="P31" i="3"/>
  <c r="S31" i="3" s="1"/>
  <c r="W12" i="3"/>
  <c r="W8" i="3"/>
  <c r="L11" i="3"/>
  <c r="N11" i="3" s="1"/>
  <c r="W32" i="3"/>
  <c r="W9" i="3"/>
  <c r="L21" i="3"/>
  <c r="N21" i="3" s="1"/>
  <c r="AH17" i="3"/>
  <c r="AG17" i="12"/>
  <c r="AB17" i="12"/>
  <c r="V17" i="12"/>
  <c r="K17" i="12"/>
  <c r="M17" i="12" s="1"/>
  <c r="L17" i="12"/>
  <c r="L17" i="3"/>
  <c r="N17" i="3" s="1"/>
  <c r="P17" i="12"/>
  <c r="M17" i="3"/>
  <c r="P17" i="3"/>
  <c r="Q17" i="3"/>
  <c r="R17" i="3" s="1"/>
  <c r="T17" i="3" s="1"/>
  <c r="W17" i="3"/>
  <c r="AC17" i="3"/>
  <c r="AB8" i="12"/>
  <c r="AC8" i="12" s="1"/>
  <c r="L28" i="12"/>
  <c r="P36" i="12"/>
  <c r="AB36" i="12"/>
  <c r="AC36" i="12" s="1"/>
  <c r="Y36" i="12" s="1"/>
  <c r="AB19" i="12"/>
  <c r="AC19" i="12" s="1"/>
  <c r="Y19" i="12" s="1"/>
  <c r="O20" i="12"/>
  <c r="P41" i="12"/>
  <c r="K29" i="12"/>
  <c r="V37" i="12"/>
  <c r="V22" i="12"/>
  <c r="K8" i="12"/>
  <c r="M8" i="12" s="1"/>
  <c r="L9" i="12"/>
  <c r="L33" i="12"/>
  <c r="AG27" i="12"/>
  <c r="P32" i="12"/>
  <c r="AG21" i="12"/>
  <c r="O23" i="12"/>
  <c r="V34" i="12"/>
  <c r="P38" i="12"/>
  <c r="V36" i="12"/>
  <c r="K27" i="12"/>
  <c r="AG32" i="12"/>
  <c r="V28" i="12"/>
  <c r="V38" i="12"/>
  <c r="V40" i="12"/>
  <c r="AG19" i="12"/>
  <c r="AB18" i="12"/>
  <c r="AC18" i="12" s="1"/>
  <c r="Y18" i="12" s="1"/>
  <c r="O19" i="12"/>
  <c r="L11" i="12"/>
  <c r="AG8" i="12"/>
  <c r="V31" i="12"/>
  <c r="K30" i="12"/>
  <c r="M30" i="12" s="1"/>
  <c r="K19" i="12"/>
  <c r="K23" i="12"/>
  <c r="K16" i="12"/>
  <c r="M16" i="12" s="1"/>
  <c r="P20" i="12"/>
  <c r="AG37" i="12"/>
  <c r="L31" i="12"/>
  <c r="O21" i="12"/>
  <c r="AG20" i="12"/>
  <c r="O41" i="12"/>
  <c r="L29" i="12"/>
  <c r="P34" i="12"/>
  <c r="P22" i="12"/>
  <c r="V8" i="12"/>
  <c r="P9" i="12"/>
  <c r="P33" i="12"/>
  <c r="O27" i="12"/>
  <c r="V32" i="12"/>
  <c r="P21" i="12"/>
  <c r="AB23" i="12"/>
  <c r="AC23" i="12" s="1"/>
  <c r="AB34" i="12"/>
  <c r="AC34" i="12" s="1"/>
  <c r="Y34" i="12" s="1"/>
  <c r="L38" i="12"/>
  <c r="P35" i="12"/>
  <c r="K35" i="12"/>
  <c r="M35" i="12" s="1"/>
  <c r="AG30" i="12"/>
  <c r="O42" i="12"/>
  <c r="AG11" i="12"/>
  <c r="O28" i="12"/>
  <c r="AG12" i="12"/>
  <c r="L23" i="12"/>
  <c r="V11" i="12"/>
  <c r="AB11" i="12"/>
  <c r="AC11" i="12" s="1"/>
  <c r="K20" i="12"/>
  <c r="M20" i="12" s="1"/>
  <c r="V16" i="12"/>
  <c r="O38" i="12"/>
  <c r="O36" i="12"/>
  <c r="AB31" i="12"/>
  <c r="AC31" i="12" s="1"/>
  <c r="AB38" i="12"/>
  <c r="AC38" i="12" s="1"/>
  <c r="O11" i="12"/>
  <c r="V18" i="12"/>
  <c r="K34" i="12"/>
  <c r="L19" i="12"/>
  <c r="L22" i="12"/>
  <c r="K39" i="12"/>
  <c r="K10" i="12"/>
  <c r="M10" i="12" s="1"/>
  <c r="AB29" i="12"/>
  <c r="AC29" i="12" s="1"/>
  <c r="Y29" i="12" s="1"/>
  <c r="AB20" i="12"/>
  <c r="AC20" i="12" s="1"/>
  <c r="V29" i="12"/>
  <c r="O34" i="12"/>
  <c r="AG36" i="12"/>
  <c r="L35" i="12"/>
  <c r="O9" i="12"/>
  <c r="AB33" i="12"/>
  <c r="AC33" i="12" s="1"/>
  <c r="Y33" i="12" s="1"/>
  <c r="P27" i="12"/>
  <c r="AB32" i="12"/>
  <c r="AC32" i="12" s="1"/>
  <c r="Y32" i="12" s="1"/>
  <c r="V21" i="12"/>
  <c r="AG34" i="12"/>
  <c r="V23" i="12"/>
  <c r="O40" i="12"/>
  <c r="K40" i="12"/>
  <c r="M40" i="12" s="1"/>
  <c r="L41" i="12"/>
  <c r="AB39" i="12"/>
  <c r="AC39" i="12" s="1"/>
  <c r="Y39" i="12" s="1"/>
  <c r="V20" i="12"/>
  <c r="P29" i="12"/>
  <c r="V39" i="12"/>
  <c r="L36" i="12"/>
  <c r="V7" i="12"/>
  <c r="K33" i="12"/>
  <c r="L16" i="12"/>
  <c r="V19" i="12"/>
  <c r="P16" i="12"/>
  <c r="AG9" i="12"/>
  <c r="P7" i="12"/>
  <c r="P28" i="12"/>
  <c r="K21" i="12"/>
  <c r="M21" i="12" s="1"/>
  <c r="O7" i="12"/>
  <c r="K11" i="12"/>
  <c r="M11" i="12" s="1"/>
  <c r="L30" i="12"/>
  <c r="O10" i="12"/>
  <c r="O37" i="12"/>
  <c r="AG7" i="12"/>
  <c r="O22" i="12"/>
  <c r="V41" i="12"/>
  <c r="AG39" i="12"/>
  <c r="L37" i="12"/>
  <c r="K7" i="12"/>
  <c r="M7" i="12" s="1"/>
  <c r="O31" i="12"/>
  <c r="R31" i="12" s="1"/>
  <c r="AG22" i="12"/>
  <c r="L34" i="12"/>
  <c r="P11" i="12"/>
  <c r="V12" i="12"/>
  <c r="P37" i="12"/>
  <c r="V9" i="12"/>
  <c r="AB16" i="12"/>
  <c r="AC16" i="12" s="1"/>
  <c r="AG16" i="12"/>
  <c r="AB22" i="12"/>
  <c r="AC22" i="12" s="1"/>
  <c r="V42" i="12"/>
  <c r="O16" i="12"/>
  <c r="R16" i="12" s="1"/>
  <c r="O12" i="12"/>
  <c r="V27" i="12"/>
  <c r="P23" i="12"/>
  <c r="AB42" i="12"/>
  <c r="AC42" i="12" s="1"/>
  <c r="AG29" i="12"/>
  <c r="K37" i="12"/>
  <c r="M37" i="12" s="1"/>
  <c r="L42" i="12"/>
  <c r="AG10" i="12"/>
  <c r="O29" i="12"/>
  <c r="P39" i="12"/>
  <c r="K36" i="12"/>
  <c r="V35" i="12"/>
  <c r="AB7" i="12"/>
  <c r="AC7" i="12" s="1"/>
  <c r="O33" i="12"/>
  <c r="L27" i="12"/>
  <c r="V10" i="12"/>
  <c r="AB28" i="12"/>
  <c r="AC28" i="12" s="1"/>
  <c r="Y28" i="12" s="1"/>
  <c r="O30" i="12"/>
  <c r="AB40" i="12"/>
  <c r="AC40" i="12" s="1"/>
  <c r="K12" i="12"/>
  <c r="AB10" i="12"/>
  <c r="AC10" i="12" s="1"/>
  <c r="L39" i="12"/>
  <c r="L10" i="12"/>
  <c r="P12" i="12"/>
  <c r="AB12" i="12"/>
  <c r="K38" i="12"/>
  <c r="M38" i="12" s="1"/>
  <c r="K9" i="12"/>
  <c r="M9" i="12" s="1"/>
  <c r="O39" i="12"/>
  <c r="AG40" i="12"/>
  <c r="O35" i="12"/>
  <c r="L7" i="12"/>
  <c r="AG33" i="12"/>
  <c r="K31" i="12"/>
  <c r="M31" i="12" s="1"/>
  <c r="P19" i="12"/>
  <c r="K28" i="12"/>
  <c r="V30" i="12"/>
  <c r="L40" i="12"/>
  <c r="AB41" i="12"/>
  <c r="AC41" i="12" s="1"/>
  <c r="L21" i="12"/>
  <c r="V33" i="12"/>
  <c r="AG31" i="12"/>
  <c r="P40" i="12"/>
  <c r="L20" i="12"/>
  <c r="P18" i="12"/>
  <c r="AB35" i="12"/>
  <c r="AC35" i="12" s="1"/>
  <c r="P31" i="12"/>
  <c r="K22" i="12"/>
  <c r="M22" i="12" s="1"/>
  <c r="AG41" i="12"/>
  <c r="AB30" i="12"/>
  <c r="AC30" i="12" s="1"/>
  <c r="P30" i="12"/>
  <c r="L18" i="12"/>
  <c r="AG35" i="12"/>
  <c r="AG28" i="12"/>
  <c r="AB27" i="12"/>
  <c r="AC27" i="12" s="1"/>
  <c r="Y27" i="12" s="1"/>
  <c r="P42" i="12"/>
  <c r="K18" i="12"/>
  <c r="P8" i="12"/>
  <c r="K32" i="12"/>
  <c r="K42" i="12"/>
  <c r="M42" i="12" s="1"/>
  <c r="AG42" i="12"/>
  <c r="P10" i="12"/>
  <c r="O18" i="12"/>
  <c r="O8" i="12"/>
  <c r="O32" i="12"/>
  <c r="AG23" i="12"/>
  <c r="AG18" i="12"/>
  <c r="L12" i="12"/>
  <c r="K41" i="12"/>
  <c r="M41" i="12" s="1"/>
  <c r="AB37" i="12"/>
  <c r="AC37" i="12" s="1"/>
  <c r="L8" i="12"/>
  <c r="AB9" i="12"/>
  <c r="AC9" i="12" s="1"/>
  <c r="L32" i="12"/>
  <c r="AB21" i="12"/>
  <c r="AC21" i="12" s="1"/>
  <c r="AG38" i="12"/>
  <c r="Q7" i="3"/>
  <c r="Q9" i="3"/>
  <c r="Q31" i="3"/>
  <c r="Q12" i="3"/>
  <c r="M11" i="3"/>
  <c r="AH18" i="3"/>
  <c r="AH39" i="3"/>
  <c r="AH20" i="3"/>
  <c r="AH19" i="3"/>
  <c r="W30" i="3"/>
  <c r="P11" i="3"/>
  <c r="AC34" i="3"/>
  <c r="AD34" i="3" s="1"/>
  <c r="Z34" i="3" s="1"/>
  <c r="M22" i="3"/>
  <c r="L12" i="3"/>
  <c r="P33" i="3"/>
  <c r="P28" i="3"/>
  <c r="L27" i="3"/>
  <c r="W39" i="3"/>
  <c r="Q41" i="3"/>
  <c r="Q42" i="3"/>
  <c r="P19" i="3"/>
  <c r="P35" i="3"/>
  <c r="AC11" i="3"/>
  <c r="AD11" i="3" s="1"/>
  <c r="Z11" i="3" s="1"/>
  <c r="AC18" i="3"/>
  <c r="AD18" i="3" s="1"/>
  <c r="AC39" i="3"/>
  <c r="AD39" i="3" s="1"/>
  <c r="Z39" i="3" s="1"/>
  <c r="AC20" i="3"/>
  <c r="AD20" i="3" s="1"/>
  <c r="AC19" i="3"/>
  <c r="AD19" i="3" s="1"/>
  <c r="Z19" i="3" s="1"/>
  <c r="W10" i="3"/>
  <c r="AH41" i="3"/>
  <c r="AH27" i="3"/>
  <c r="P22" i="3"/>
  <c r="P12" i="3"/>
  <c r="M33" i="3"/>
  <c r="W28" i="3"/>
  <c r="W27" i="3"/>
  <c r="Q29" i="3"/>
  <c r="Q40" i="3"/>
  <c r="W21" i="3"/>
  <c r="Q19" i="3"/>
  <c r="AH11" i="3"/>
  <c r="L9" i="3"/>
  <c r="N9" i="3" s="1"/>
  <c r="L10" i="3"/>
  <c r="N10" i="3" s="1"/>
  <c r="L30" i="3"/>
  <c r="N30" i="3" s="1"/>
  <c r="L42" i="3"/>
  <c r="N42" i="3" s="1"/>
  <c r="AC41" i="3"/>
  <c r="AD41" i="3" s="1"/>
  <c r="AC27" i="3"/>
  <c r="AD27" i="3" s="1"/>
  <c r="Z27" i="3" s="1"/>
  <c r="W18" i="3"/>
  <c r="L41" i="3"/>
  <c r="N41" i="3" s="1"/>
  <c r="Q28" i="3"/>
  <c r="Q39" i="3"/>
  <c r="R39" i="3" s="1"/>
  <c r="Q21" i="3"/>
  <c r="P30" i="3"/>
  <c r="W20" i="3"/>
  <c r="P23" i="3"/>
  <c r="M9" i="3"/>
  <c r="AC10" i="3"/>
  <c r="AD10" i="3" s="1"/>
  <c r="AH30" i="3"/>
  <c r="G17" i="11" s="1"/>
  <c r="AH42" i="3"/>
  <c r="L28" i="3"/>
  <c r="P18" i="3"/>
  <c r="W41" i="3"/>
  <c r="M29" i="3"/>
  <c r="Q18" i="3"/>
  <c r="Q16" i="3"/>
  <c r="P27" i="3"/>
  <c r="Q30" i="3"/>
  <c r="P20" i="3"/>
  <c r="R20" i="3" s="1"/>
  <c r="AH23" i="3"/>
  <c r="W7" i="3"/>
  <c r="AH10" i="3"/>
  <c r="G9" i="11" s="1"/>
  <c r="AC30" i="3"/>
  <c r="AD30" i="3" s="1"/>
  <c r="AC42" i="3"/>
  <c r="AD42" i="3" s="1"/>
  <c r="AC28" i="3"/>
  <c r="AD28" i="3" s="1"/>
  <c r="Z28" i="3" s="1"/>
  <c r="M18" i="3"/>
  <c r="P41" i="3"/>
  <c r="M16" i="3"/>
  <c r="AH7" i="3"/>
  <c r="L36" i="3"/>
  <c r="L32" i="3"/>
  <c r="L29" i="3"/>
  <c r="AH28" i="3"/>
  <c r="L18" i="3"/>
  <c r="Q36" i="3"/>
  <c r="Q8" i="3"/>
  <c r="R8" i="3" s="1"/>
  <c r="M30" i="3"/>
  <c r="Q27" i="3"/>
  <c r="Q38" i="3"/>
  <c r="P36" i="3"/>
  <c r="P8" i="3"/>
  <c r="W19" i="3"/>
  <c r="AC23" i="3"/>
  <c r="AD23" i="3" s="1"/>
  <c r="AH8" i="3"/>
  <c r="G7" i="11" s="1"/>
  <c r="M28" i="3"/>
  <c r="M7" i="3"/>
  <c r="P42" i="3"/>
  <c r="M27" i="3"/>
  <c r="P21" i="3"/>
  <c r="AH29" i="3"/>
  <c r="AC35" i="3"/>
  <c r="AD35" i="3" s="1"/>
  <c r="AH38" i="3"/>
  <c r="AH9" i="3"/>
  <c r="G8" i="11" s="1"/>
  <c r="M20" i="3"/>
  <c r="Q33" i="3"/>
  <c r="M42" i="3"/>
  <c r="M41" i="3"/>
  <c r="M19" i="3"/>
  <c r="AH34" i="3"/>
  <c r="P32" i="3"/>
  <c r="L20" i="3"/>
  <c r="N20" i="3" s="1"/>
  <c r="M21" i="3"/>
  <c r="AC9" i="3"/>
  <c r="AD9" i="3" s="1"/>
  <c r="M34" i="3"/>
  <c r="Q11" i="3"/>
  <c r="M36" i="3"/>
  <c r="L16" i="3"/>
  <c r="N16" i="3" s="1"/>
  <c r="AC40" i="3"/>
  <c r="AD40" i="3" s="1"/>
  <c r="M10" i="3"/>
  <c r="AC32" i="3"/>
  <c r="AD32" i="3" s="1"/>
  <c r="W23" i="3"/>
  <c r="AH21" i="3"/>
  <c r="Q34" i="3"/>
  <c r="M31" i="3"/>
  <c r="L35" i="3"/>
  <c r="N35" i="3" s="1"/>
  <c r="AH40" i="3"/>
  <c r="AH32" i="3"/>
  <c r="P9" i="3"/>
  <c r="AC21" i="3"/>
  <c r="AD21" i="3" s="1"/>
  <c r="M12" i="3"/>
  <c r="M32" i="3"/>
  <c r="L38" i="3"/>
  <c r="N38" i="3" s="1"/>
  <c r="Z38" i="3" s="1"/>
  <c r="P10" i="3"/>
  <c r="L23" i="3"/>
  <c r="AH36" i="3"/>
  <c r="M8" i="3"/>
  <c r="Q23" i="3"/>
  <c r="Q37" i="3"/>
  <c r="Z6" i="12"/>
  <c r="AM6" i="12" s="1"/>
  <c r="AI6" i="12"/>
  <c r="AJ6" i="12" s="1"/>
  <c r="X6" i="12"/>
  <c r="AD5" i="12"/>
  <c r="AE49" i="3"/>
  <c r="AN49" i="3" s="1"/>
  <c r="E15" i="8"/>
  <c r="G14" i="8"/>
  <c r="U6" i="3"/>
  <c r="R6" i="3"/>
  <c r="T6" i="3" s="1"/>
  <c r="Z6" i="3"/>
  <c r="Z5" i="3"/>
  <c r="Z25" i="3" l="1"/>
  <c r="AA25" i="3" s="1"/>
  <c r="AE25" i="3"/>
  <c r="Z26" i="3"/>
  <c r="AA26" i="3" s="1"/>
  <c r="U26" i="3"/>
  <c r="AE26" i="3" s="1"/>
  <c r="Z37" i="3"/>
  <c r="AE24" i="3"/>
  <c r="Z24" i="3"/>
  <c r="AA24" i="3" s="1"/>
  <c r="R25" i="3"/>
  <c r="T25" i="3" s="1"/>
  <c r="R15" i="3"/>
  <c r="T15" i="3" s="1"/>
  <c r="R40" i="3"/>
  <c r="R29" i="3"/>
  <c r="R34" i="3"/>
  <c r="R10" i="3"/>
  <c r="U16" i="3"/>
  <c r="R14" i="3"/>
  <c r="T14" i="3" s="1"/>
  <c r="R16" i="3"/>
  <c r="T16" i="3" s="1"/>
  <c r="Z12" i="3"/>
  <c r="U15" i="3"/>
  <c r="AE15" i="3" s="1"/>
  <c r="AK15" i="3" s="1"/>
  <c r="U14" i="3"/>
  <c r="AE14" i="3" s="1"/>
  <c r="AK14" i="3" s="1"/>
  <c r="Z14" i="3"/>
  <c r="AA14" i="3" s="1"/>
  <c r="R35" i="3"/>
  <c r="AE13" i="3"/>
  <c r="AK13" i="3" s="1"/>
  <c r="Z13" i="3"/>
  <c r="AA13" i="3" s="1"/>
  <c r="R22" i="3"/>
  <c r="R37" i="3"/>
  <c r="Z15" i="3"/>
  <c r="AA15" i="3" s="1"/>
  <c r="Z7" i="3"/>
  <c r="R32" i="3"/>
  <c r="R38" i="3"/>
  <c r="R31" i="3"/>
  <c r="T31" i="3" s="1"/>
  <c r="R7" i="3"/>
  <c r="Z18" i="3"/>
  <c r="Z32" i="3"/>
  <c r="Z40" i="3"/>
  <c r="R36" i="3"/>
  <c r="Q33" i="12"/>
  <c r="S33" i="12" s="1"/>
  <c r="T33" i="12" s="1"/>
  <c r="Q9" i="12"/>
  <c r="S9" i="12" s="1"/>
  <c r="X9" i="12" s="1"/>
  <c r="Y40" i="12"/>
  <c r="Z30" i="3"/>
  <c r="R9" i="3"/>
  <c r="Q34" i="12"/>
  <c r="S34" i="12" s="1"/>
  <c r="Z34" i="12" s="1"/>
  <c r="Y30" i="12"/>
  <c r="Y37" i="12"/>
  <c r="Q8" i="12"/>
  <c r="S8" i="12" s="1"/>
  <c r="T8" i="12" s="1"/>
  <c r="Q32" i="12"/>
  <c r="S32" i="12" s="1"/>
  <c r="AI32" i="12" s="1"/>
  <c r="Q19" i="12"/>
  <c r="S19" i="12" s="1"/>
  <c r="Z19" i="12" s="1"/>
  <c r="Q23" i="12"/>
  <c r="S23" i="12" s="1"/>
  <c r="X23" i="12" s="1"/>
  <c r="Q22" i="12"/>
  <c r="S22" i="12" s="1"/>
  <c r="AI22" i="12" s="1"/>
  <c r="Q27" i="12"/>
  <c r="S27" i="12" s="1"/>
  <c r="X27" i="12" s="1"/>
  <c r="Q17" i="12"/>
  <c r="S17" i="12" s="1"/>
  <c r="T17" i="12" s="1"/>
  <c r="Q20" i="12"/>
  <c r="S20" i="12" s="1"/>
  <c r="Y35" i="12"/>
  <c r="Q42" i="12"/>
  <c r="S42" i="12" s="1"/>
  <c r="AI42" i="12" s="1"/>
  <c r="AL42" i="12" s="1"/>
  <c r="Q12" i="12"/>
  <c r="S12" i="12" s="1"/>
  <c r="T12" i="12" s="1"/>
  <c r="Q37" i="12"/>
  <c r="S37" i="12" s="1"/>
  <c r="T37" i="12" s="1"/>
  <c r="Q11" i="12"/>
  <c r="S11" i="12" s="1"/>
  <c r="AI11" i="12" s="1"/>
  <c r="Y23" i="12"/>
  <c r="R19" i="3"/>
  <c r="R28" i="3"/>
  <c r="Z23" i="3"/>
  <c r="R21" i="3"/>
  <c r="Z35" i="3"/>
  <c r="Z20" i="3"/>
  <c r="R23" i="3"/>
  <c r="Z42" i="3"/>
  <c r="R33" i="3"/>
  <c r="R18" i="3"/>
  <c r="R30" i="3"/>
  <c r="Z10" i="3"/>
  <c r="R12" i="3"/>
  <c r="R42" i="3"/>
  <c r="Z21" i="3"/>
  <c r="R41" i="3"/>
  <c r="Z9" i="3"/>
  <c r="Z41" i="3"/>
  <c r="U17" i="3"/>
  <c r="Z17" i="3"/>
  <c r="AA17" i="3" s="1"/>
  <c r="Y41" i="12"/>
  <c r="R27" i="3"/>
  <c r="R11" i="3"/>
  <c r="AC12" i="12"/>
  <c r="Y12" i="12" s="1"/>
  <c r="Y8" i="12"/>
  <c r="Q16" i="12"/>
  <c r="S16" i="12" s="1"/>
  <c r="Y17" i="12"/>
  <c r="Y21" i="12"/>
  <c r="Q29" i="12"/>
  <c r="S29" i="12" s="1"/>
  <c r="Y20" i="12"/>
  <c r="Y38" i="12"/>
  <c r="Q21" i="12"/>
  <c r="S21" i="12" s="1"/>
  <c r="Q38" i="12"/>
  <c r="S38" i="12" s="1"/>
  <c r="T38" i="12" s="1"/>
  <c r="Q35" i="12"/>
  <c r="S35" i="12" s="1"/>
  <c r="Y16" i="12"/>
  <c r="Y42" i="12"/>
  <c r="Z16" i="3"/>
  <c r="Q28" i="12"/>
  <c r="S28" i="12" s="1"/>
  <c r="Y9" i="12"/>
  <c r="Q10" i="12"/>
  <c r="S10" i="12" s="1"/>
  <c r="T10" i="12" s="1"/>
  <c r="Q40" i="12"/>
  <c r="S40" i="12" s="1"/>
  <c r="T40" i="12" s="1"/>
  <c r="Y10" i="12"/>
  <c r="Q7" i="12"/>
  <c r="S7" i="12" s="1"/>
  <c r="Q36" i="12"/>
  <c r="S36" i="12" s="1"/>
  <c r="Q41" i="12"/>
  <c r="S41" i="12" s="1"/>
  <c r="Y22" i="12"/>
  <c r="Y11" i="12"/>
  <c r="Q31" i="12"/>
  <c r="S31" i="12" s="1"/>
  <c r="Q18" i="12"/>
  <c r="S18" i="12" s="1"/>
  <c r="Y7" i="12"/>
  <c r="Y31" i="12"/>
  <c r="Q30" i="12"/>
  <c r="S30" i="12" s="1"/>
  <c r="Q39" i="12"/>
  <c r="S39" i="12" s="1"/>
  <c r="AK49" i="3"/>
  <c r="AM5" i="12"/>
  <c r="AJ5" i="12"/>
  <c r="E16" i="8"/>
  <c r="G15" i="8"/>
  <c r="O35" i="3"/>
  <c r="S35" i="3" s="1"/>
  <c r="T35" i="3" s="1"/>
  <c r="O36" i="3"/>
  <c r="S36" i="3" s="1"/>
  <c r="O37" i="3"/>
  <c r="S37" i="3" s="1"/>
  <c r="O38" i="3"/>
  <c r="S38" i="3" s="1"/>
  <c r="O39" i="3"/>
  <c r="S39" i="3" s="1"/>
  <c r="T39" i="3" s="1"/>
  <c r="O40" i="3"/>
  <c r="S40" i="3" s="1"/>
  <c r="O41" i="3"/>
  <c r="S41" i="3" s="1"/>
  <c r="O42" i="3"/>
  <c r="S42" i="3" s="1"/>
  <c r="I35" i="3"/>
  <c r="I36" i="3"/>
  <c r="I37" i="3"/>
  <c r="I38" i="3"/>
  <c r="I39" i="3"/>
  <c r="I40" i="3"/>
  <c r="I41" i="3"/>
  <c r="I42" i="3"/>
  <c r="I5" i="3"/>
  <c r="I6" i="3"/>
  <c r="I7" i="3"/>
  <c r="I8" i="3"/>
  <c r="I9" i="3"/>
  <c r="I10" i="3"/>
  <c r="I11" i="3"/>
  <c r="I12" i="3"/>
  <c r="I16" i="3"/>
  <c r="I18" i="3"/>
  <c r="I19" i="3"/>
  <c r="I20" i="3"/>
  <c r="I21" i="3"/>
  <c r="I22" i="3"/>
  <c r="I23" i="3"/>
  <c r="I27" i="3"/>
  <c r="I28" i="3"/>
  <c r="I29" i="3"/>
  <c r="I30" i="3"/>
  <c r="I31" i="3"/>
  <c r="I32" i="3"/>
  <c r="I33" i="3"/>
  <c r="I34" i="3"/>
  <c r="O6" i="3"/>
  <c r="O7" i="3"/>
  <c r="S7" i="3" s="1"/>
  <c r="O8" i="3"/>
  <c r="S8" i="3" s="1"/>
  <c r="T8" i="3" s="1"/>
  <c r="O9" i="3"/>
  <c r="S9" i="3" s="1"/>
  <c r="O10" i="3"/>
  <c r="S10" i="3" s="1"/>
  <c r="O11" i="3"/>
  <c r="S11" i="3" s="1"/>
  <c r="S12" i="3"/>
  <c r="O16" i="3"/>
  <c r="O18" i="3"/>
  <c r="S18" i="3" s="1"/>
  <c r="O19" i="3"/>
  <c r="S19" i="3" s="1"/>
  <c r="O20" i="3"/>
  <c r="S20" i="3" s="1"/>
  <c r="T20" i="3" s="1"/>
  <c r="O21" i="3"/>
  <c r="S21" i="3" s="1"/>
  <c r="O22" i="3"/>
  <c r="S22" i="3" s="1"/>
  <c r="T22" i="3" s="1"/>
  <c r="O23" i="3"/>
  <c r="S23" i="3" s="1"/>
  <c r="O27" i="3"/>
  <c r="S27" i="3" s="1"/>
  <c r="O28" i="3"/>
  <c r="S28" i="3" s="1"/>
  <c r="O29" i="3"/>
  <c r="S29" i="3" s="1"/>
  <c r="O30" i="3"/>
  <c r="S30" i="3" s="1"/>
  <c r="O31" i="3"/>
  <c r="O32" i="3"/>
  <c r="S32" i="3" s="1"/>
  <c r="O33" i="3"/>
  <c r="S33" i="3" s="1"/>
  <c r="O34" i="3"/>
  <c r="S34" i="3" s="1"/>
  <c r="U44" i="3"/>
  <c r="Y44" i="3"/>
  <c r="Z44" i="3"/>
  <c r="AA44" i="3" s="1"/>
  <c r="U45" i="3"/>
  <c r="AA45" i="3"/>
  <c r="U46" i="3"/>
  <c r="AA46" i="3"/>
  <c r="U47" i="3"/>
  <c r="AA47" i="3"/>
  <c r="U48" i="3"/>
  <c r="AA48" i="3"/>
  <c r="O5" i="3"/>
  <c r="S5" i="3" s="1"/>
  <c r="T5" i="3" s="1"/>
  <c r="AN13" i="3" l="1"/>
  <c r="Z33" i="12"/>
  <c r="AP24" i="3"/>
  <c r="K40" i="11" s="1"/>
  <c r="AN24" i="3"/>
  <c r="AO26" i="3"/>
  <c r="AL26" i="3"/>
  <c r="AK26" i="3"/>
  <c r="T40" i="3"/>
  <c r="AL25" i="3"/>
  <c r="AO25" i="3"/>
  <c r="AK25" i="3"/>
  <c r="AK24" i="3"/>
  <c r="AO24" i="3"/>
  <c r="AL24" i="3"/>
  <c r="AP26" i="3"/>
  <c r="K42" i="11" s="1"/>
  <c r="AN26" i="3"/>
  <c r="AP25" i="3"/>
  <c r="K41" i="11" s="1"/>
  <c r="AN25" i="3"/>
  <c r="T34" i="3"/>
  <c r="T29" i="3"/>
  <c r="T10" i="3"/>
  <c r="T37" i="3"/>
  <c r="T19" i="3"/>
  <c r="AN14" i="3"/>
  <c r="AN15" i="3"/>
  <c r="T32" i="3"/>
  <c r="AI27" i="12"/>
  <c r="Z27" i="12"/>
  <c r="T27" i="12"/>
  <c r="T7" i="3"/>
  <c r="T36" i="3"/>
  <c r="T38" i="3"/>
  <c r="T9" i="3"/>
  <c r="AE17" i="3"/>
  <c r="AK17" i="3" s="1"/>
  <c r="AD27" i="12"/>
  <c r="AM27" i="12" s="1"/>
  <c r="AD8" i="12"/>
  <c r="AN8" i="12" s="1"/>
  <c r="AD37" i="12"/>
  <c r="AD38" i="12"/>
  <c r="AD17" i="12"/>
  <c r="Z17" i="12"/>
  <c r="AM17" i="12" s="1"/>
  <c r="AD33" i="12"/>
  <c r="AM33" i="12" s="1"/>
  <c r="AI33" i="12"/>
  <c r="T11" i="12"/>
  <c r="T9" i="12"/>
  <c r="AI37" i="12"/>
  <c r="X33" i="12"/>
  <c r="T30" i="3"/>
  <c r="T11" i="3"/>
  <c r="T28" i="3"/>
  <c r="Z9" i="12"/>
  <c r="AO9" i="12" s="1"/>
  <c r="AI9" i="12"/>
  <c r="X34" i="12"/>
  <c r="AI34" i="12"/>
  <c r="T34" i="12"/>
  <c r="AI17" i="12"/>
  <c r="X17" i="12"/>
  <c r="AI23" i="12"/>
  <c r="AL23" i="12" s="1"/>
  <c r="Z8" i="12"/>
  <c r="X8" i="12"/>
  <c r="Z22" i="12"/>
  <c r="AO22" i="12" s="1"/>
  <c r="X37" i="12"/>
  <c r="T23" i="12"/>
  <c r="X19" i="12"/>
  <c r="Z42" i="12"/>
  <c r="AO42" i="12" s="1"/>
  <c r="T19" i="12"/>
  <c r="T32" i="12"/>
  <c r="X22" i="12"/>
  <c r="X11" i="12"/>
  <c r="X12" i="12"/>
  <c r="AI8" i="12"/>
  <c r="X32" i="12"/>
  <c r="AI19" i="12"/>
  <c r="X42" i="12"/>
  <c r="Z32" i="12"/>
  <c r="AO32" i="12" s="1"/>
  <c r="AI12" i="12"/>
  <c r="Z23" i="12"/>
  <c r="AO23" i="12" s="1"/>
  <c r="T22" i="12"/>
  <c r="X20" i="12"/>
  <c r="AI20" i="12"/>
  <c r="Z20" i="12"/>
  <c r="T42" i="12"/>
  <c r="T20" i="12"/>
  <c r="Z37" i="12"/>
  <c r="Z11" i="12"/>
  <c r="AO11" i="12" s="1"/>
  <c r="Z12" i="12"/>
  <c r="AD12" i="12"/>
  <c r="T18" i="3"/>
  <c r="T27" i="3"/>
  <c r="T23" i="3"/>
  <c r="T33" i="3"/>
  <c r="T21" i="3"/>
  <c r="T42" i="3"/>
  <c r="T41" i="3"/>
  <c r="T12" i="3"/>
  <c r="X16" i="12"/>
  <c r="Z16" i="12"/>
  <c r="AI16" i="12"/>
  <c r="T16" i="12"/>
  <c r="AD40" i="12"/>
  <c r="AD10" i="12"/>
  <c r="T7" i="12"/>
  <c r="AI7" i="12"/>
  <c r="Z7" i="12"/>
  <c r="X7" i="12"/>
  <c r="Z30" i="12"/>
  <c r="X30" i="12"/>
  <c r="AI30" i="12"/>
  <c r="AI21" i="12"/>
  <c r="AL21" i="12" s="1"/>
  <c r="X21" i="12"/>
  <c r="Z21" i="12"/>
  <c r="Z31" i="12"/>
  <c r="X31" i="12"/>
  <c r="AI31" i="12"/>
  <c r="X28" i="12"/>
  <c r="AI28" i="12"/>
  <c r="Z28" i="12"/>
  <c r="T28" i="12"/>
  <c r="T31" i="12"/>
  <c r="Z38" i="12"/>
  <c r="X38" i="12"/>
  <c r="AI38" i="12"/>
  <c r="T29" i="12"/>
  <c r="Z29" i="12"/>
  <c r="X29" i="12"/>
  <c r="AI29" i="12"/>
  <c r="AL11" i="12"/>
  <c r="Z41" i="12"/>
  <c r="X41" i="12"/>
  <c r="AI41" i="12"/>
  <c r="T41" i="12"/>
  <c r="T21" i="12"/>
  <c r="AI18" i="12"/>
  <c r="X18" i="12"/>
  <c r="T18" i="12"/>
  <c r="Z18" i="12"/>
  <c r="T36" i="12"/>
  <c r="Z36" i="12"/>
  <c r="X36" i="12"/>
  <c r="AI36" i="12"/>
  <c r="X39" i="12"/>
  <c r="Z39" i="12"/>
  <c r="AI39" i="12"/>
  <c r="T39" i="12"/>
  <c r="X40" i="12"/>
  <c r="AI40" i="12"/>
  <c r="AI10" i="12"/>
  <c r="X10" i="12"/>
  <c r="Z10" i="12"/>
  <c r="AO10" i="12" s="1"/>
  <c r="T35" i="12"/>
  <c r="AI35" i="12"/>
  <c r="Z35" i="12"/>
  <c r="X35" i="12"/>
  <c r="AL32" i="12"/>
  <c r="Z40" i="12"/>
  <c r="AL22" i="12"/>
  <c r="T30" i="12"/>
  <c r="Y41" i="3"/>
  <c r="AA41" i="3"/>
  <c r="AE45" i="3"/>
  <c r="AK45" i="3" s="1"/>
  <c r="Y5" i="3"/>
  <c r="U5" i="3"/>
  <c r="AJ5" i="3"/>
  <c r="E17" i="8"/>
  <c r="G16" i="8"/>
  <c r="U33" i="3"/>
  <c r="U35" i="3"/>
  <c r="U11" i="3"/>
  <c r="U21" i="3"/>
  <c r="U9" i="3"/>
  <c r="U42" i="3"/>
  <c r="U19" i="3"/>
  <c r="U8" i="3"/>
  <c r="U41" i="3"/>
  <c r="U30" i="3"/>
  <c r="U12" i="3"/>
  <c r="U36" i="3"/>
  <c r="U10" i="3"/>
  <c r="U32" i="3"/>
  <c r="U20" i="3"/>
  <c r="U23" i="3"/>
  <c r="U40" i="3"/>
  <c r="U22" i="3"/>
  <c r="U18" i="3"/>
  <c r="U7" i="3"/>
  <c r="U39" i="3"/>
  <c r="U29" i="3"/>
  <c r="U38" i="3"/>
  <c r="U28" i="3"/>
  <c r="U37" i="3"/>
  <c r="U34" i="3"/>
  <c r="U27" i="3"/>
  <c r="Y28" i="3"/>
  <c r="AA28" i="3"/>
  <c r="AJ28" i="3"/>
  <c r="AA6" i="3"/>
  <c r="AE6" i="3"/>
  <c r="AJ6" i="3"/>
  <c r="Y6" i="3"/>
  <c r="AJ37" i="3"/>
  <c r="AA37" i="3"/>
  <c r="Y37" i="3"/>
  <c r="AJ34" i="3"/>
  <c r="Y34" i="3"/>
  <c r="AA34" i="3"/>
  <c r="AA27" i="3"/>
  <c r="AJ27" i="3"/>
  <c r="Y27" i="3"/>
  <c r="AA12" i="3"/>
  <c r="Y12" i="3"/>
  <c r="AJ12" i="3"/>
  <c r="AJ36" i="3"/>
  <c r="Y36" i="3"/>
  <c r="AA36" i="3"/>
  <c r="AA33" i="3"/>
  <c r="Y33" i="3"/>
  <c r="AJ33" i="3"/>
  <c r="AA35" i="3"/>
  <c r="Y35" i="3"/>
  <c r="AJ35" i="3"/>
  <c r="AJ11" i="3"/>
  <c r="Y11" i="3"/>
  <c r="AA11" i="3"/>
  <c r="AA21" i="3"/>
  <c r="AJ21" i="3"/>
  <c r="Y21" i="3"/>
  <c r="AJ10" i="3"/>
  <c r="Y10" i="3"/>
  <c r="AA10" i="3"/>
  <c r="Y32" i="3"/>
  <c r="AJ32" i="3"/>
  <c r="AA32" i="3"/>
  <c r="AA20" i="3"/>
  <c r="Y20" i="3"/>
  <c r="AJ20" i="3"/>
  <c r="AJ9" i="3"/>
  <c r="Y9" i="3"/>
  <c r="AA9" i="3"/>
  <c r="AA42" i="3"/>
  <c r="Y42" i="3"/>
  <c r="AJ42" i="3"/>
  <c r="AJ31" i="3"/>
  <c r="AE31" i="3"/>
  <c r="Y31" i="3"/>
  <c r="AA31" i="3"/>
  <c r="AJ23" i="3"/>
  <c r="AA23" i="3"/>
  <c r="Y23" i="3"/>
  <c r="AA19" i="3"/>
  <c r="Y19" i="3"/>
  <c r="AJ19" i="3"/>
  <c r="AJ8" i="3"/>
  <c r="AA8" i="3"/>
  <c r="Y8" i="3"/>
  <c r="AJ41" i="3"/>
  <c r="AJ30" i="3"/>
  <c r="Y30" i="3"/>
  <c r="AA30" i="3"/>
  <c r="AA40" i="3"/>
  <c r="Y40" i="3"/>
  <c r="AJ40" i="3"/>
  <c r="AA5" i="3"/>
  <c r="AJ22" i="3"/>
  <c r="AA22" i="3"/>
  <c r="Y22" i="3"/>
  <c r="AJ18" i="3"/>
  <c r="AA18" i="3"/>
  <c r="Y18" i="3"/>
  <c r="AA7" i="3"/>
  <c r="Y7" i="3"/>
  <c r="AJ7" i="3"/>
  <c r="AA39" i="3"/>
  <c r="Y39" i="3"/>
  <c r="AJ39" i="3"/>
  <c r="AA29" i="3"/>
  <c r="Y29" i="3"/>
  <c r="AJ29" i="3"/>
  <c r="AA16" i="3"/>
  <c r="Y16" i="3"/>
  <c r="AJ16" i="3"/>
  <c r="AE16" i="3"/>
  <c r="Y38" i="3"/>
  <c r="AJ38" i="3"/>
  <c r="AA38" i="3"/>
  <c r="I50" i="3"/>
  <c r="AE48" i="3"/>
  <c r="AN48" i="3" s="1"/>
  <c r="AE47" i="3"/>
  <c r="AN47" i="3" s="1"/>
  <c r="AE46" i="3"/>
  <c r="AN46" i="3" s="1"/>
  <c r="AE44" i="3"/>
  <c r="AK44" i="3" s="1"/>
  <c r="AE25" i="12" l="1"/>
  <c r="AE24" i="12"/>
  <c r="AE26" i="12"/>
  <c r="AE15" i="12"/>
  <c r="AE14" i="12"/>
  <c r="AE13" i="12"/>
  <c r="AM37" i="12"/>
  <c r="AJ37" i="12"/>
  <c r="AJ38" i="12"/>
  <c r="AK8" i="12"/>
  <c r="AR24" i="3"/>
  <c r="I40" i="11" s="1"/>
  <c r="AF26" i="3"/>
  <c r="AF25" i="3"/>
  <c r="AF24" i="3"/>
  <c r="AR25" i="3"/>
  <c r="I41" i="11" s="1"/>
  <c r="AR26" i="3"/>
  <c r="I42" i="11" s="1"/>
  <c r="AR14" i="3"/>
  <c r="I34" i="11" s="1"/>
  <c r="AR12" i="3"/>
  <c r="I33" i="11" s="1"/>
  <c r="AR15" i="3"/>
  <c r="I35" i="11" s="1"/>
  <c r="AM8" i="12"/>
  <c r="AE40" i="12"/>
  <c r="AE36" i="12"/>
  <c r="AJ27" i="12"/>
  <c r="AF13" i="3"/>
  <c r="AF15" i="3"/>
  <c r="AF14" i="3"/>
  <c r="AE23" i="3"/>
  <c r="AN23" i="3" s="1"/>
  <c r="AF23" i="3"/>
  <c r="AE21" i="3"/>
  <c r="AK21" i="3" s="1"/>
  <c r="AF21" i="3"/>
  <c r="AF27" i="3"/>
  <c r="AF20" i="3"/>
  <c r="AE11" i="3"/>
  <c r="AF11" i="3"/>
  <c r="AF34" i="3"/>
  <c r="AE32" i="3"/>
  <c r="AF32" i="3"/>
  <c r="AE35" i="3"/>
  <c r="AN35" i="3" s="1"/>
  <c r="AF35" i="3"/>
  <c r="AF37" i="3"/>
  <c r="AF10" i="3"/>
  <c r="AF33" i="3"/>
  <c r="AF28" i="3"/>
  <c r="AF36" i="3"/>
  <c r="AF38" i="3"/>
  <c r="AF12" i="3"/>
  <c r="AF29" i="3"/>
  <c r="AF30" i="3"/>
  <c r="AF39" i="3"/>
  <c r="AF41" i="3"/>
  <c r="AF5" i="3"/>
  <c r="AR22" i="3"/>
  <c r="I38" i="11" s="1"/>
  <c r="AR23" i="3"/>
  <c r="I39" i="11" s="1"/>
  <c r="AF6" i="3"/>
  <c r="AF16" i="3"/>
  <c r="AF31" i="3"/>
  <c r="AR35" i="3"/>
  <c r="I44" i="11" s="1"/>
  <c r="AR42" i="3"/>
  <c r="I46" i="11" s="1"/>
  <c r="AR18" i="3"/>
  <c r="I36" i="11" s="1"/>
  <c r="AR32" i="3"/>
  <c r="I43" i="11" s="1"/>
  <c r="AR40" i="3"/>
  <c r="I45" i="11" s="1"/>
  <c r="AF7" i="3"/>
  <c r="AR7" i="3" s="1"/>
  <c r="I31" i="11" s="1"/>
  <c r="AF8" i="3"/>
  <c r="AF17" i="3"/>
  <c r="AE18" i="3"/>
  <c r="AF18" i="3"/>
  <c r="AF19" i="3"/>
  <c r="AE22" i="3"/>
  <c r="AF22" i="3"/>
  <c r="AE42" i="3"/>
  <c r="AN42" i="3" s="1"/>
  <c r="AF42" i="3"/>
  <c r="AN17" i="3"/>
  <c r="AE40" i="3"/>
  <c r="AN40" i="3" s="1"/>
  <c r="AF40" i="3"/>
  <c r="AF9" i="3"/>
  <c r="AE18" i="12"/>
  <c r="AE30" i="12"/>
  <c r="AL30" i="12" s="1"/>
  <c r="AD22" i="12"/>
  <c r="AN22" i="12" s="1"/>
  <c r="AE22" i="12"/>
  <c r="AD9" i="12"/>
  <c r="AN9" i="12" s="1"/>
  <c r="AE9" i="12"/>
  <c r="AL9" i="12" s="1"/>
  <c r="AE21" i="12"/>
  <c r="AE41" i="12"/>
  <c r="AM38" i="12"/>
  <c r="AD34" i="12"/>
  <c r="AM34" i="12" s="1"/>
  <c r="AE34" i="12"/>
  <c r="AJ33" i="12"/>
  <c r="AE7" i="12"/>
  <c r="AE5" i="12"/>
  <c r="AE6" i="12"/>
  <c r="AE29" i="12"/>
  <c r="AE39" i="12"/>
  <c r="AL39" i="12" s="1"/>
  <c r="AD11" i="12"/>
  <c r="AE11" i="12"/>
  <c r="AE33" i="12"/>
  <c r="AE10" i="12"/>
  <c r="AL10" i="12" s="1"/>
  <c r="AE38" i="12"/>
  <c r="AE16" i="12"/>
  <c r="AD32" i="12"/>
  <c r="AJ32" i="12" s="1"/>
  <c r="AE32" i="12"/>
  <c r="AD19" i="12"/>
  <c r="AM19" i="12" s="1"/>
  <c r="AE19" i="12"/>
  <c r="AJ17" i="12"/>
  <c r="AE37" i="12"/>
  <c r="AE31" i="12"/>
  <c r="AL31" i="12" s="1"/>
  <c r="AE8" i="12"/>
  <c r="AL8" i="12" s="1"/>
  <c r="AE28" i="12"/>
  <c r="AD20" i="12"/>
  <c r="AM20" i="12" s="1"/>
  <c r="AE20" i="12"/>
  <c r="AD23" i="12"/>
  <c r="AM23" i="12" s="1"/>
  <c r="AE23" i="12"/>
  <c r="AD42" i="12"/>
  <c r="AM42" i="12" s="1"/>
  <c r="AE42" i="12"/>
  <c r="AE27" i="12"/>
  <c r="AE35" i="12"/>
  <c r="AJ8" i="12"/>
  <c r="AE17" i="12"/>
  <c r="AE12" i="12"/>
  <c r="AO8" i="12"/>
  <c r="AJ12" i="12"/>
  <c r="AM12" i="12"/>
  <c r="AD39" i="12"/>
  <c r="AM39" i="12" s="1"/>
  <c r="AD18" i="12"/>
  <c r="AJ18" i="12" s="1"/>
  <c r="AM10" i="12"/>
  <c r="AN10" i="12"/>
  <c r="AK10" i="12"/>
  <c r="AD30" i="12"/>
  <c r="AO39" i="12"/>
  <c r="AL18" i="12"/>
  <c r="X50" i="12"/>
  <c r="AO35" i="12"/>
  <c r="AO7" i="12"/>
  <c r="Z50" i="12"/>
  <c r="AN40" i="12"/>
  <c r="AK40" i="12"/>
  <c r="AL7" i="12"/>
  <c r="AI43" i="12"/>
  <c r="AI50" i="12"/>
  <c r="AD35" i="12"/>
  <c r="AM35" i="12" s="1"/>
  <c r="AD21" i="12"/>
  <c r="AD29" i="12"/>
  <c r="AD7" i="12"/>
  <c r="AM7" i="12" s="1"/>
  <c r="AA50" i="12"/>
  <c r="T50" i="12"/>
  <c r="AC50" i="12"/>
  <c r="AL40" i="12"/>
  <c r="AJ40" i="12"/>
  <c r="AD41" i="12"/>
  <c r="AO21" i="12"/>
  <c r="AD16" i="12"/>
  <c r="AD28" i="12"/>
  <c r="AO40" i="12"/>
  <c r="AM40" i="12"/>
  <c r="AJ10" i="12"/>
  <c r="AD36" i="12"/>
  <c r="AM36" i="12" s="1"/>
  <c r="AL35" i="12"/>
  <c r="AO18" i="12"/>
  <c r="AD31" i="12"/>
  <c r="AJ31" i="12" s="1"/>
  <c r="AN45" i="3"/>
  <c r="AD50" i="3"/>
  <c r="AJ50" i="3"/>
  <c r="AM35" i="3"/>
  <c r="AM40" i="3"/>
  <c r="AM42" i="3"/>
  <c r="AM18" i="3"/>
  <c r="AM22" i="3"/>
  <c r="AM7" i="3"/>
  <c r="AM32" i="3"/>
  <c r="AM11" i="3"/>
  <c r="AM21" i="3"/>
  <c r="AM23" i="3"/>
  <c r="AP8" i="3"/>
  <c r="K7" i="11" s="1"/>
  <c r="AE28" i="3"/>
  <c r="AE20" i="3"/>
  <c r="AN20" i="3" s="1"/>
  <c r="AE36" i="3"/>
  <c r="AN36" i="3" s="1"/>
  <c r="AE30" i="3"/>
  <c r="AN30" i="3" s="1"/>
  <c r="AP18" i="3"/>
  <c r="K36" i="11" s="1"/>
  <c r="AE8" i="3"/>
  <c r="AN8" i="3" s="1"/>
  <c r="AE12" i="3"/>
  <c r="AN12" i="3" s="1"/>
  <c r="AE38" i="3"/>
  <c r="AN38" i="3" s="1"/>
  <c r="AP21" i="3"/>
  <c r="K37" i="11" s="1"/>
  <c r="AP35" i="3"/>
  <c r="K44" i="11" s="1"/>
  <c r="AE29" i="3"/>
  <c r="AN29" i="3" s="1"/>
  <c r="AE10" i="3"/>
  <c r="AN10" i="3" s="1"/>
  <c r="AP23" i="3"/>
  <c r="K39" i="11" s="1"/>
  <c r="AE27" i="3"/>
  <c r="AE39" i="3"/>
  <c r="AK39" i="3" s="1"/>
  <c r="AE33" i="3"/>
  <c r="AK33" i="3" s="1"/>
  <c r="AE41" i="3"/>
  <c r="AK41" i="3" s="1"/>
  <c r="AP22" i="3"/>
  <c r="K38" i="11" s="1"/>
  <c r="AE19" i="3"/>
  <c r="AE9" i="3"/>
  <c r="AP7" i="3"/>
  <c r="K31" i="11" s="1"/>
  <c r="AP10" i="3"/>
  <c r="K9" i="11" s="1"/>
  <c r="AE37" i="3"/>
  <c r="AN37" i="3" s="1"/>
  <c r="AP40" i="3"/>
  <c r="K45" i="11" s="1"/>
  <c r="AP42" i="3"/>
  <c r="K46" i="11" s="1"/>
  <c r="AP9" i="3"/>
  <c r="K8" i="11" s="1"/>
  <c r="AP32" i="3"/>
  <c r="K43" i="11" s="1"/>
  <c r="AP11" i="3"/>
  <c r="K32" i="11" s="1"/>
  <c r="AE34" i="3"/>
  <c r="AN34" i="3" s="1"/>
  <c r="AE7" i="3"/>
  <c r="AB50" i="3"/>
  <c r="E18" i="8"/>
  <c r="G17" i="8"/>
  <c r="AE5" i="3"/>
  <c r="AN5" i="3" s="1"/>
  <c r="Y50" i="3"/>
  <c r="AK47" i="3"/>
  <c r="AK46" i="3"/>
  <c r="AK48" i="3"/>
  <c r="AN16" i="3"/>
  <c r="AN6" i="3"/>
  <c r="AJ43" i="3"/>
  <c r="AN44" i="3"/>
  <c r="U50" i="3"/>
  <c r="AA50" i="3"/>
  <c r="AL13" i="12" l="1"/>
  <c r="AN13" i="12"/>
  <c r="AO13" i="12"/>
  <c r="AK13" i="12"/>
  <c r="AO14" i="12"/>
  <c r="AL14" i="12"/>
  <c r="AK14" i="12"/>
  <c r="AN14" i="12"/>
  <c r="AK15" i="12"/>
  <c r="AO15" i="12"/>
  <c r="AL15" i="12"/>
  <c r="AN15" i="12"/>
  <c r="AN42" i="12"/>
  <c r="AJ23" i="12"/>
  <c r="AK23" i="12"/>
  <c r="AN23" i="12"/>
  <c r="AJ19" i="12"/>
  <c r="AK42" i="12"/>
  <c r="AK9" i="12"/>
  <c r="AJ22" i="12"/>
  <c r="AN32" i="12"/>
  <c r="AK22" i="12"/>
  <c r="AM32" i="12"/>
  <c r="AJ42" i="12"/>
  <c r="AM22" i="12"/>
  <c r="AM14" i="3"/>
  <c r="AO14" i="3"/>
  <c r="AL14" i="3"/>
  <c r="AP14" i="3"/>
  <c r="K34" i="11" s="1"/>
  <c r="AM15" i="3"/>
  <c r="AP15" i="3"/>
  <c r="K35" i="11" s="1"/>
  <c r="AO15" i="3"/>
  <c r="AL15" i="3"/>
  <c r="AP13" i="3"/>
  <c r="AM13" i="3"/>
  <c r="AO13" i="3"/>
  <c r="AL13" i="3"/>
  <c r="AJ34" i="12"/>
  <c r="AM9" i="12"/>
  <c r="AK11" i="12"/>
  <c r="AN11" i="12"/>
  <c r="AJ11" i="12"/>
  <c r="AM11" i="12"/>
  <c r="AJ20" i="12"/>
  <c r="AJ9" i="12"/>
  <c r="AK32" i="12"/>
  <c r="AJ7" i="12"/>
  <c r="AK41" i="12"/>
  <c r="AJ35" i="12"/>
  <c r="AJ39" i="12"/>
  <c r="AN39" i="12"/>
  <c r="AK29" i="12"/>
  <c r="AN31" i="12"/>
  <c r="U51" i="3"/>
  <c r="AN16" i="12"/>
  <c r="AO30" i="12"/>
  <c r="AM41" i="12"/>
  <c r="AN41" i="12"/>
  <c r="AN30" i="12"/>
  <c r="AK30" i="12"/>
  <c r="AJ41" i="12"/>
  <c r="AN12" i="12"/>
  <c r="AO12" i="12"/>
  <c r="AK12" i="12"/>
  <c r="AL12" i="12"/>
  <c r="AO6" i="12"/>
  <c r="AN6" i="12"/>
  <c r="AK6" i="12"/>
  <c r="AL6" i="12"/>
  <c r="AK18" i="12"/>
  <c r="AN18" i="12"/>
  <c r="AJ16" i="12"/>
  <c r="AK37" i="12"/>
  <c r="AL37" i="12"/>
  <c r="AN37" i="12"/>
  <c r="AO37" i="12"/>
  <c r="AK7" i="12"/>
  <c r="AN7" i="12"/>
  <c r="AD50" i="12"/>
  <c r="AJ50" i="12" s="1"/>
  <c r="AN28" i="12"/>
  <c r="AK17" i="12"/>
  <c r="AN17" i="12"/>
  <c r="AO17" i="12"/>
  <c r="AL17" i="12"/>
  <c r="AN29" i="12"/>
  <c r="AM30" i="12"/>
  <c r="AK39" i="12"/>
  <c r="AJ28" i="12"/>
  <c r="AK28" i="12"/>
  <c r="AL36" i="12"/>
  <c r="AO36" i="12"/>
  <c r="AK16" i="12"/>
  <c r="AK34" i="12"/>
  <c r="AN34" i="12"/>
  <c r="AL38" i="12"/>
  <c r="AK38" i="12"/>
  <c r="AO38" i="12"/>
  <c r="AN36" i="12"/>
  <c r="AK36" i="12"/>
  <c r="AN27" i="12"/>
  <c r="AK27" i="12"/>
  <c r="AL27" i="12"/>
  <c r="AO27" i="12"/>
  <c r="AK33" i="12"/>
  <c r="AN33" i="12"/>
  <c r="AJ21" i="12"/>
  <c r="AK21" i="12"/>
  <c r="AN21" i="12"/>
  <c r="AJ29" i="12"/>
  <c r="AM29" i="12"/>
  <c r="AK31" i="12"/>
  <c r="AM16" i="12"/>
  <c r="AJ36" i="12"/>
  <c r="AN38" i="12"/>
  <c r="AO20" i="12"/>
  <c r="AK20" i="12"/>
  <c r="AN20" i="12"/>
  <c r="AL20" i="12"/>
  <c r="AM21" i="12"/>
  <c r="AO31" i="12"/>
  <c r="AO16" i="12"/>
  <c r="AM28" i="12"/>
  <c r="AM18" i="12"/>
  <c r="AO5" i="12"/>
  <c r="AL5" i="12"/>
  <c r="AN5" i="12"/>
  <c r="AK5" i="12"/>
  <c r="AE50" i="12"/>
  <c r="AO50" i="12" s="1"/>
  <c r="AN19" i="12"/>
  <c r="AO19" i="12"/>
  <c r="AK19" i="12"/>
  <c r="AL19" i="12"/>
  <c r="AN35" i="12"/>
  <c r="AK35" i="12"/>
  <c r="AM31" i="12"/>
  <c r="AJ30" i="12"/>
  <c r="AL16" i="12"/>
  <c r="AL17" i="3"/>
  <c r="AM17" i="3"/>
  <c r="AO17" i="3"/>
  <c r="AP17" i="3"/>
  <c r="E19" i="8"/>
  <c r="G18" i="8"/>
  <c r="AK42" i="3"/>
  <c r="AN41" i="3"/>
  <c r="AK40" i="3"/>
  <c r="AN33" i="3"/>
  <c r="AK37" i="3"/>
  <c r="AK8" i="3"/>
  <c r="AL9" i="3"/>
  <c r="AO9" i="3"/>
  <c r="AK32" i="3"/>
  <c r="AL32" i="3"/>
  <c r="AO32" i="3"/>
  <c r="AL11" i="3"/>
  <c r="AO11" i="3"/>
  <c r="AK11" i="3"/>
  <c r="AL22" i="3"/>
  <c r="AO22" i="3"/>
  <c r="AK22" i="3"/>
  <c r="AK31" i="3"/>
  <c r="AL18" i="3"/>
  <c r="AO18" i="3"/>
  <c r="AK18" i="3"/>
  <c r="AN21" i="3"/>
  <c r="AK36" i="3"/>
  <c r="AK20" i="3"/>
  <c r="AN32" i="3"/>
  <c r="AL42" i="3"/>
  <c r="AO42" i="3"/>
  <c r="AK35" i="3"/>
  <c r="AK16" i="3"/>
  <c r="AN11" i="3"/>
  <c r="AK7" i="3"/>
  <c r="AL7" i="3"/>
  <c r="AO7" i="3"/>
  <c r="AN22" i="3"/>
  <c r="AK10" i="3"/>
  <c r="AO10" i="3"/>
  <c r="AL10" i="3"/>
  <c r="AK28" i="3"/>
  <c r="AK19" i="3"/>
  <c r="AK6" i="3"/>
  <c r="AN31" i="3"/>
  <c r="AK34" i="3"/>
  <c r="AO23" i="3"/>
  <c r="AL23" i="3"/>
  <c r="AK23" i="3"/>
  <c r="AK30" i="3"/>
  <c r="AN18" i="3"/>
  <c r="AK9" i="3"/>
  <c r="AN7" i="3"/>
  <c r="AN19" i="3"/>
  <c r="AK5" i="3"/>
  <c r="AL21" i="3"/>
  <c r="AO21" i="3"/>
  <c r="AN9" i="3"/>
  <c r="AK27" i="3"/>
  <c r="AL35" i="3"/>
  <c r="AO35" i="3"/>
  <c r="AL8" i="3"/>
  <c r="AO8" i="3"/>
  <c r="AN28" i="3"/>
  <c r="AN39" i="3"/>
  <c r="AK29" i="3"/>
  <c r="AN27" i="3"/>
  <c r="AK12" i="3"/>
  <c r="AK38" i="3"/>
  <c r="AE50" i="3"/>
  <c r="AK50" i="3" s="1"/>
  <c r="AM50" i="12" l="1"/>
  <c r="AK50" i="12"/>
  <c r="AL50" i="12"/>
  <c r="AN50" i="12"/>
  <c r="G19" i="8"/>
  <c r="E20" i="8"/>
  <c r="AN50" i="3"/>
  <c r="AF48" i="3"/>
  <c r="AF49" i="3"/>
  <c r="AF47" i="3"/>
  <c r="AF46" i="3"/>
  <c r="AF45" i="3"/>
  <c r="AF44" i="3"/>
  <c r="AM49" i="3" l="1"/>
  <c r="AP49" i="3"/>
  <c r="AP44" i="3"/>
  <c r="AM44" i="3"/>
  <c r="AP45" i="3"/>
  <c r="AM45" i="3"/>
  <c r="AP46" i="3"/>
  <c r="AM46" i="3"/>
  <c r="AP47" i="3"/>
  <c r="AM47" i="3"/>
  <c r="AP48" i="3"/>
  <c r="AM48" i="3"/>
  <c r="E21" i="8"/>
  <c r="G20" i="8"/>
  <c r="AO47" i="3"/>
  <c r="AL47" i="3"/>
  <c r="AO46" i="3"/>
  <c r="AL46" i="3"/>
  <c r="AO45" i="3"/>
  <c r="AL45" i="3"/>
  <c r="AO49" i="3"/>
  <c r="AL49" i="3"/>
  <c r="AO48" i="3"/>
  <c r="AL48" i="3"/>
  <c r="AL44" i="3"/>
  <c r="AO44" i="3"/>
  <c r="AM30" i="3" l="1"/>
  <c r="AP30" i="3"/>
  <c r="K17" i="11" s="1"/>
  <c r="AM6" i="3"/>
  <c r="I6" i="11" s="1"/>
  <c r="AP6" i="3"/>
  <c r="K6" i="11" s="1"/>
  <c r="AM16" i="3"/>
  <c r="I11" i="11" s="1"/>
  <c r="AP16" i="3"/>
  <c r="K11" i="11" s="1"/>
  <c r="AP39" i="3"/>
  <c r="K24" i="11" s="1"/>
  <c r="AM39" i="3"/>
  <c r="AM8" i="3"/>
  <c r="I7" i="11" s="1"/>
  <c r="AM31" i="3"/>
  <c r="AP31" i="3"/>
  <c r="AP36" i="3"/>
  <c r="K21" i="11" s="1"/>
  <c r="AM36" i="3"/>
  <c r="I21" i="11" s="1"/>
  <c r="AM12" i="3"/>
  <c r="I10" i="11" s="1"/>
  <c r="AP12" i="3"/>
  <c r="AP27" i="3"/>
  <c r="K14" i="11" s="1"/>
  <c r="AM27" i="3"/>
  <c r="I14" i="11" s="1"/>
  <c r="AM9" i="3"/>
  <c r="I8" i="11" s="1"/>
  <c r="AM10" i="3"/>
  <c r="I9" i="11" s="1"/>
  <c r="AM19" i="3"/>
  <c r="I12" i="11" s="1"/>
  <c r="AP19" i="3"/>
  <c r="K12" i="11" s="1"/>
  <c r="AP38" i="3"/>
  <c r="K23" i="11" s="1"/>
  <c r="AM38" i="3"/>
  <c r="I23" i="11" s="1"/>
  <c r="AM20" i="3"/>
  <c r="I13" i="11" s="1"/>
  <c r="AP20" i="3"/>
  <c r="K13" i="11" s="1"/>
  <c r="AM37" i="3"/>
  <c r="I22" i="11" s="1"/>
  <c r="AP37" i="3"/>
  <c r="K22" i="11" s="1"/>
  <c r="AM5" i="3"/>
  <c r="AP5" i="3"/>
  <c r="E22" i="8"/>
  <c r="G21" i="8"/>
  <c r="AL6" i="3"/>
  <c r="AO6" i="3"/>
  <c r="AO31" i="3"/>
  <c r="AL31" i="3"/>
  <c r="AL16" i="3"/>
  <c r="AO16" i="3"/>
  <c r="AO20" i="3"/>
  <c r="AL20" i="3"/>
  <c r="AL39" i="3"/>
  <c r="AO39" i="3"/>
  <c r="AL40" i="3"/>
  <c r="AO40" i="3"/>
  <c r="AO29" i="3"/>
  <c r="AL29" i="3"/>
  <c r="AL33" i="3"/>
  <c r="AO33" i="3"/>
  <c r="AL28" i="3"/>
  <c r="AO28" i="3"/>
  <c r="AO30" i="3"/>
  <c r="AL30" i="3"/>
  <c r="AL36" i="3"/>
  <c r="AO36" i="3"/>
  <c r="AO19" i="3"/>
  <c r="AL19" i="3"/>
  <c r="AL12" i="3"/>
  <c r="AO12" i="3"/>
  <c r="AO37" i="3"/>
  <c r="AL37" i="3"/>
  <c r="AL34" i="3"/>
  <c r="AO34" i="3"/>
  <c r="AL38" i="3"/>
  <c r="AO38" i="3"/>
  <c r="AL41" i="3"/>
  <c r="AO41" i="3"/>
  <c r="AL27" i="3"/>
  <c r="AO27" i="3"/>
  <c r="AO5" i="3"/>
  <c r="AL5" i="3"/>
  <c r="AF50" i="3"/>
  <c r="AL50" i="3" s="1"/>
  <c r="K10" i="11" l="1"/>
  <c r="K33" i="11"/>
  <c r="AM50" i="3"/>
  <c r="AP50" i="3"/>
  <c r="E23" i="8"/>
  <c r="G22" i="8"/>
  <c r="AO50" i="3"/>
  <c r="E24" i="8" l="1"/>
  <c r="G23" i="8"/>
  <c r="E25" i="8" l="1"/>
  <c r="G24" i="8"/>
  <c r="G25" i="8" l="1"/>
  <c r="I26" i="11" s="1"/>
  <c r="E26" i="8"/>
  <c r="K26" i="11"/>
  <c r="E27" i="8" l="1"/>
  <c r="G26" i="8"/>
  <c r="K18" i="11"/>
  <c r="I18" i="11" l="1"/>
  <c r="E28" i="8"/>
  <c r="G27" i="8"/>
  <c r="E29" i="8" l="1"/>
  <c r="G28" i="8"/>
  <c r="E30" i="8" l="1"/>
  <c r="G29" i="8"/>
  <c r="I24" i="11" l="1"/>
  <c r="E31" i="8"/>
  <c r="G30" i="8"/>
  <c r="G31" i="8" l="1"/>
  <c r="E32" i="8"/>
  <c r="K5" i="11"/>
  <c r="E33" i="8" l="1"/>
  <c r="G32" i="8"/>
  <c r="I5" i="11"/>
  <c r="E34" i="8" l="1"/>
  <c r="G33" i="8"/>
  <c r="E35" i="8" l="1"/>
  <c r="G34" i="8"/>
  <c r="E36" i="8" l="1"/>
  <c r="G35" i="8"/>
  <c r="E37" i="8" l="1"/>
  <c r="G36" i="8"/>
  <c r="I17" i="11" l="1"/>
  <c r="G37" i="8"/>
  <c r="E38" i="8"/>
  <c r="E39" i="8" l="1"/>
  <c r="G38" i="8"/>
  <c r="E40" i="8" l="1"/>
  <c r="G39" i="8"/>
  <c r="E41" i="8" l="1"/>
  <c r="G40" i="8"/>
  <c r="E42" i="8" l="1"/>
  <c r="G41" i="8"/>
  <c r="E43" i="8" l="1"/>
  <c r="G42" i="8"/>
  <c r="G43" i="8" l="1"/>
  <c r="E44" i="8"/>
  <c r="E45" i="8" l="1"/>
  <c r="G44" i="8"/>
  <c r="E46" i="8" l="1"/>
  <c r="G45" i="8"/>
  <c r="E47" i="8" l="1"/>
  <c r="G46" i="8"/>
  <c r="E48" i="8" l="1"/>
  <c r="G47" i="8"/>
  <c r="E49" i="8" l="1"/>
  <c r="G48" i="8"/>
  <c r="G49" i="8" l="1"/>
  <c r="E50" i="8"/>
  <c r="E51" i="8" l="1"/>
  <c r="G50" i="8"/>
  <c r="E52" i="8" l="1"/>
  <c r="G51" i="8"/>
  <c r="AP29" i="3" l="1"/>
  <c r="K16" i="11" s="1"/>
  <c r="AP33" i="3"/>
  <c r="K19" i="11" s="1"/>
  <c r="AP41" i="3"/>
  <c r="K25" i="11" s="1"/>
  <c r="AP34" i="3"/>
  <c r="K20" i="11" s="1"/>
  <c r="AP28" i="3"/>
  <c r="K15" i="11" s="1"/>
  <c r="E53" i="8"/>
  <c r="G52" i="8"/>
  <c r="AM33" i="3" l="1"/>
  <c r="I19" i="11" s="1"/>
  <c r="AM34" i="3"/>
  <c r="I20" i="11" s="1"/>
  <c r="AM28" i="3"/>
  <c r="I15" i="11" s="1"/>
  <c r="AM41" i="3"/>
  <c r="I25" i="11" s="1"/>
  <c r="AM29" i="3"/>
  <c r="I16" i="11" s="1"/>
  <c r="AO28" i="12"/>
  <c r="AO41" i="12"/>
  <c r="AO33" i="12"/>
  <c r="AO34" i="12"/>
  <c r="AO29" i="12"/>
  <c r="E54" i="8"/>
  <c r="G53" i="8"/>
  <c r="AL33" i="12" l="1"/>
  <c r="AL29" i="12"/>
  <c r="AL41" i="12"/>
  <c r="AL34" i="12"/>
  <c r="AL28" i="12"/>
  <c r="G54" i="8"/>
  <c r="E55" i="8"/>
  <c r="G55" i="8" s="1"/>
  <c r="E56" i="8" l="1"/>
  <c r="G56" i="8" s="1"/>
</calcChain>
</file>

<file path=xl/sharedStrings.xml><?xml version="1.0" encoding="utf-8"?>
<sst xmlns="http://schemas.openxmlformats.org/spreadsheetml/2006/main" count="5180" uniqueCount="852">
  <si>
    <t>TOTAL PROGRAM</t>
  </si>
  <si>
    <t>CASCADE NATURAL GAS CORPORATION</t>
  </si>
  <si>
    <t>MEASURE</t>
  </si>
  <si>
    <t>Nominal interest rate (post tax cost of cap.)</t>
  </si>
  <si>
    <t>Inflation rate</t>
  </si>
  <si>
    <t>Long term real discount rate</t>
  </si>
  <si>
    <t>Radiant Heating</t>
  </si>
  <si>
    <t>DESCRIPTION</t>
  </si>
  <si>
    <t>Condensing Tank</t>
  </si>
  <si>
    <t>Energy Star</t>
  </si>
  <si>
    <t>EFFICIENCY TYPE FOR QUALIFICATION</t>
  </si>
  <si>
    <t>None</t>
  </si>
  <si>
    <t>Minimum 91% AFUE or 91% Thermal Efficiency</t>
  </si>
  <si>
    <t>45 YEAR RESOURCE SUMMARY COSTS - MELDED COST PER THERM</t>
  </si>
  <si>
    <t>YEAR</t>
  </si>
  <si>
    <t>Cascade's Long Term Real Discount Rate:</t>
  </si>
  <si>
    <t>IRP Discount Rate =</t>
  </si>
  <si>
    <t>Revised Discount Rate=</t>
  </si>
  <si>
    <t>Years 21-45 Escalation =</t>
  </si>
  <si>
    <t>(EIA Inflation Rate)</t>
  </si>
  <si>
    <t xml:space="preserve">COMMERCIAL Program Participant Cost Effectiveness </t>
  </si>
  <si>
    <t>/unit</t>
  </si>
  <si>
    <t>Program Year:</t>
  </si>
  <si>
    <t>Double Rack Oven</t>
  </si>
  <si>
    <t>PORTFOLIO COST APPENDIX 1 TABLE H</t>
  </si>
  <si>
    <t>Boiler</t>
  </si>
  <si>
    <t>Custom Measures</t>
  </si>
  <si>
    <t>Attic Insulation</t>
  </si>
  <si>
    <t>Demand Control Ventilation</t>
  </si>
  <si>
    <t>Gas Conveyor Oven</t>
  </si>
  <si>
    <t>Meet JUARC Guidelines for DCV RTUs in 5-20 ton</t>
  </si>
  <si>
    <t>2018 INTEGRATED RESOURCE PLAN</t>
  </si>
  <si>
    <t>Bonus - Insulation Bundle A</t>
  </si>
  <si>
    <t>Insulation Bundle A</t>
  </si>
  <si>
    <t>Two Insulation Measures, min. 1000 sq. ft.+</t>
  </si>
  <si>
    <t>Bonus - Kitchen Bundle C (3 or more measures)</t>
  </si>
  <si>
    <t>Foodservice Bundle C</t>
  </si>
  <si>
    <t>Any 3 Kitchen equipment measures</t>
  </si>
  <si>
    <t>Bonus - Kitchen Bundle B (2 - measures)</t>
  </si>
  <si>
    <t>Foodservice Bundle B</t>
  </si>
  <si>
    <t>Any 2 Kitchen equipment measures</t>
  </si>
  <si>
    <t>Energy Saver Kit A</t>
  </si>
  <si>
    <t>PRSV &lt;=1 gpm / Aerators &lt;=.75 gpm</t>
  </si>
  <si>
    <t>/kit</t>
  </si>
  <si>
    <t>DCV</t>
  </si>
  <si>
    <t>/ton</t>
  </si>
  <si>
    <t>Convection Oven (Restaurant)</t>
  </si>
  <si>
    <t>&gt;= 44% Cooking Efficiency,&lt;= 13,000 Btu/hr Idle Rate</t>
  </si>
  <si>
    <t>/oven</t>
  </si>
  <si>
    <t>FSTC Qualified</t>
  </si>
  <si>
    <t>&gt;=50% Cooking Efficiency, &lt;=35,000 Btu/hr Idle Rate</t>
  </si>
  <si>
    <t>Griddle (Restaurant)</t>
  </si>
  <si>
    <t>&gt;=38% Cooking Efficiency,&lt;= 2650 Btu/hr-sq ft Idle Rate</t>
  </si>
  <si>
    <t>/griddle</t>
  </si>
  <si>
    <t>Domestic Hot Water Tanks - Condensing</t>
  </si>
  <si>
    <t>/kBtu/hr in</t>
  </si>
  <si>
    <t>FSTC Qualified Gas Fired Conveyor Oven</t>
  </si>
  <si>
    <t>&gt;=42% Baking Efficiency</t>
  </si>
  <si>
    <t>Tankless Water Heater</t>
  </si>
  <si>
    <t>/gpm</t>
  </si>
  <si>
    <t>Warm-Air Furnace</t>
  </si>
  <si>
    <t>High-Efficiency Condensing Furnace</t>
  </si>
  <si>
    <t>Minimum  91% AFUE</t>
  </si>
  <si>
    <t>Direct-fired Radiant Heating</t>
  </si>
  <si>
    <t>Minimum .87 Energy Factor</t>
  </si>
  <si>
    <t>Minimum 90% Thermal Efficiency and 300 kBtu/hr input</t>
  </si>
  <si>
    <t>Tankless Water Heater - Tier 2</t>
  </si>
  <si>
    <t>Minimum .93 Energy Factor</t>
  </si>
  <si>
    <t>High-Efficiency-Condensing Boiler</t>
  </si>
  <si>
    <t>Insulation - Attic - Tier 1 - Min R-30</t>
  </si>
  <si>
    <t>Tier 1 /  Minimum R-30</t>
  </si>
  <si>
    <t>/sq.ft.</t>
  </si>
  <si>
    <t>Wall Insulation</t>
  </si>
  <si>
    <t>Insulation - Roof - Tier 2 - Min R-30</t>
  </si>
  <si>
    <t>Roof Insulation</t>
  </si>
  <si>
    <t>Tier 2 /  Minimum R-30</t>
  </si>
  <si>
    <t>Insulation - Wall - Tier 2 - Min R-19</t>
  </si>
  <si>
    <t>Tier 2 /  Minimum R-19</t>
  </si>
  <si>
    <t>/sq. ft.</t>
  </si>
  <si>
    <t>Insulation - Attic - Tier 2 - Min R-45</t>
  </si>
  <si>
    <t>Tier 2 /  Minimum R-45</t>
  </si>
  <si>
    <t>Windows</t>
  </si>
  <si>
    <t>Single pane to .27 or less (not LoadMAP's .50 to .22) per sq ft</t>
  </si>
  <si>
    <t>0.27 or less U</t>
  </si>
  <si>
    <t>Boiler Steam Trap</t>
  </si>
  <si>
    <t>Convection Oven (Grocery)</t>
  </si>
  <si>
    <t>Convection Oven (Lodging)</t>
  </si>
  <si>
    <t>Convection Oven (School)</t>
  </si>
  <si>
    <t>DHW Recirculation Controls</t>
  </si>
  <si>
    <t>Griddle (Lodging)</t>
  </si>
  <si>
    <t>Griddle (School)</t>
  </si>
  <si>
    <t>HVAC Unit Heater - Condensing</t>
  </si>
  <si>
    <t>Insulation - Pipe - 1.5"</t>
  </si>
  <si>
    <t>Insulation - Pipe - 2.5"</t>
  </si>
  <si>
    <t>Ozone Injection Laundry</t>
  </si>
  <si>
    <t>Steam Trap fitted to Steam Boiler</t>
  </si>
  <si>
    <t>Minimum 300 kBtu input and steam pressures at 7psig or greater</t>
  </si>
  <si>
    <t>Schedule Control for Continuous Operation DHW Recirculation Pump</t>
  </si>
  <si>
    <t>Add time clock or other schedule control for continuous operation DHW recirculation pump</t>
  </si>
  <si>
    <t>High Efficiency Condensing</t>
  </si>
  <si>
    <t>Floor Insulation</t>
  </si>
  <si>
    <t>Equal to or greater than R-30 Post and equal to or less than R-11 Pre</t>
  </si>
  <si>
    <t xml:space="preserve">1.5" Thick Pipe Insulation </t>
  </si>
  <si>
    <t>Retrofit for T&gt;140F&lt;=200F</t>
  </si>
  <si>
    <t>2.5" Thick Pipe Insulation</t>
  </si>
  <si>
    <t>Retrofit for T&gt;200F</t>
  </si>
  <si>
    <t>Venturi Injection or Bubble Diffusion Ozone Injection Laundry</t>
  </si>
  <si>
    <t>Minimum 125 lb Total Washer/Extractor Capacity  and Pre Approved by CNG</t>
  </si>
  <si>
    <t>/controller</t>
  </si>
  <si>
    <t>/LF</t>
  </si>
  <si>
    <t>/system</t>
  </si>
  <si>
    <t>Insulation - Floor</t>
  </si>
  <si>
    <t>COMBOILSTP-NT</t>
  </si>
  <si>
    <t>COMFSOVENLODGE2-19-19</t>
  </si>
  <si>
    <t>COMDHWRCTR2-19-19</t>
  </si>
  <si>
    <t>COMFSDOVEN2-19-19</t>
  </si>
  <si>
    <t>COMESVKTA2-19-19</t>
  </si>
  <si>
    <t>COMHVACCON2-19-19</t>
  </si>
  <si>
    <t>COMIAT12-19-19</t>
  </si>
  <si>
    <t>COMIAT22-19-19</t>
  </si>
  <si>
    <t>COMPIPINS1.52-19-19</t>
  </si>
  <si>
    <t>COMPIPINS2.52-19-19</t>
  </si>
  <si>
    <t>COMRADIANT2-19-19</t>
  </si>
  <si>
    <t>COMTANKLESST12-19-19</t>
  </si>
  <si>
    <t>COMTANKLESST22-19-19</t>
  </si>
  <si>
    <t>COMFURNACE2-19-19</t>
  </si>
  <si>
    <t>COMWINDOWS2-19-19</t>
  </si>
  <si>
    <t>Measure Selector</t>
  </si>
  <si>
    <t>Measure Code</t>
  </si>
  <si>
    <t>Program</t>
  </si>
  <si>
    <t>Energy Type</t>
  </si>
  <si>
    <t>Category</t>
  </si>
  <si>
    <t>Sub Category 1</t>
  </si>
  <si>
    <t>Measure Description</t>
  </si>
  <si>
    <t>Measure Life</t>
  </si>
  <si>
    <t>Effective From</t>
  </si>
  <si>
    <t>Effective To</t>
  </si>
  <si>
    <t>Efficiency Type for Qualification</t>
  </si>
  <si>
    <t>Therm Savings Per Unit</t>
  </si>
  <si>
    <t>Incentive Per Unit</t>
  </si>
  <si>
    <t>Unit</t>
  </si>
  <si>
    <t>Notes</t>
  </si>
  <si>
    <t>Installer/Trade Ally</t>
  </si>
  <si>
    <t>Install Date</t>
  </si>
  <si>
    <t>Existing Meas Model Number</t>
  </si>
  <si>
    <t>AFUE Eff</t>
  </si>
  <si>
    <t>Base Equip Descr</t>
  </si>
  <si>
    <t>R-Value Base</t>
  </si>
  <si>
    <t>R-Value Installed</t>
  </si>
  <si>
    <t>Current Units</t>
  </si>
  <si>
    <t>Cost Total</t>
  </si>
  <si>
    <t>Current Savings thm</t>
  </si>
  <si>
    <t>Current Inc Total</t>
  </si>
  <si>
    <t>Payee Company (Parent Project) (Project)</t>
  </si>
  <si>
    <t>BD Lead (Parent Project) (Project)</t>
  </si>
  <si>
    <t>Parent Project</t>
  </si>
  <si>
    <t>Parent Site</t>
  </si>
  <si>
    <t>Address 1 (Parent Site) (Sites)</t>
  </si>
  <si>
    <t>City (Parent Site) (Sites)</t>
  </si>
  <si>
    <t>Zip (Parent Site) (Sites)</t>
  </si>
  <si>
    <t>County (Parent Site) (Sites)</t>
  </si>
  <si>
    <t>District (Parent Site) (Sites)</t>
  </si>
  <si>
    <t>Zone (Parent Site) (Sites)</t>
  </si>
  <si>
    <t>End Date (Parent Project) (Project)</t>
  </si>
  <si>
    <t>Revenue Code (Parent Site) (Sites)</t>
  </si>
  <si>
    <t>Project Status (Parent Project) (Project)</t>
  </si>
  <si>
    <t>Incremental Cost</t>
  </si>
  <si>
    <t>COMFSBNDLA2-19-19</t>
  </si>
  <si>
    <t>COM Standard</t>
  </si>
  <si>
    <t>thm</t>
  </si>
  <si>
    <t>Bonus B - Kitchen</t>
  </si>
  <si>
    <t>POST 2-19-19</t>
  </si>
  <si>
    <t>Self</t>
  </si>
  <si>
    <t/>
  </si>
  <si>
    <t>Todd Blackman</t>
  </si>
  <si>
    <t>Walla Walla</t>
  </si>
  <si>
    <t>99362</t>
  </si>
  <si>
    <t>Zone 3</t>
  </si>
  <si>
    <t>504</t>
  </si>
  <si>
    <t>7-Completed</t>
  </si>
  <si>
    <t>Richland</t>
  </si>
  <si>
    <t>Benton</t>
  </si>
  <si>
    <t>Kennewick</t>
  </si>
  <si>
    <t>Robert Cuti</t>
  </si>
  <si>
    <t>Whatcom</t>
  </si>
  <si>
    <t>Bellingham</t>
  </si>
  <si>
    <t>Zone 1</t>
  </si>
  <si>
    <t>Lynden Sheet Metal, Inc.</t>
  </si>
  <si>
    <t>Brian Farnsworth</t>
  </si>
  <si>
    <t>COMFSBNDLB2-19-19</t>
  </si>
  <si>
    <t>Bonus C - Kitchen</t>
  </si>
  <si>
    <t>Skagit</t>
  </si>
  <si>
    <t>Mount Vernon</t>
  </si>
  <si>
    <t>Oak Harbor</t>
  </si>
  <si>
    <t>98277</t>
  </si>
  <si>
    <t>Island</t>
  </si>
  <si>
    <t>Western Restaurant Supply &amp; Design</t>
  </si>
  <si>
    <t>99336</t>
  </si>
  <si>
    <t>COMINSBNDL-7-17</t>
  </si>
  <si>
    <t>COM Both</t>
  </si>
  <si>
    <t>Bonus A - Insulation</t>
  </si>
  <si>
    <t>Smith Insulation, Inc.</t>
  </si>
  <si>
    <t>Bradey Day</t>
  </si>
  <si>
    <t>Kitsap</t>
  </si>
  <si>
    <t>Bremerton</t>
  </si>
  <si>
    <t>Zone 2</t>
  </si>
  <si>
    <t>Yakima</t>
  </si>
  <si>
    <t>511</t>
  </si>
  <si>
    <t>Glen Whitehead</t>
  </si>
  <si>
    <t>Cowlitz</t>
  </si>
  <si>
    <t>Longview</t>
  </si>
  <si>
    <t>Wenatchee</t>
  </si>
  <si>
    <t>Bonus - HVAC</t>
  </si>
  <si>
    <t>HVAC Bonus</t>
  </si>
  <si>
    <t>Burlington</t>
  </si>
  <si>
    <t>A-One Refrigeration &amp; Heating</t>
  </si>
  <si>
    <t>Pasco</t>
  </si>
  <si>
    <t>Franklin</t>
  </si>
  <si>
    <t>99301</t>
  </si>
  <si>
    <t>Low Flow Kitchen Pre Rinse Spray Valve</t>
  </si>
  <si>
    <t>Food Service</t>
  </si>
  <si>
    <t>Ovens</t>
  </si>
  <si>
    <t>Aberdeen</t>
  </si>
  <si>
    <t>COM Custom</t>
  </si>
  <si>
    <t>Custom</t>
  </si>
  <si>
    <t>Arlington</t>
  </si>
  <si>
    <t>Snohomish</t>
  </si>
  <si>
    <t>Sedro Woolley</t>
  </si>
  <si>
    <t>Water Heaters</t>
  </si>
  <si>
    <t>Domestic Hot Water</t>
  </si>
  <si>
    <t>Rinnai CU199i</t>
  </si>
  <si>
    <t>Custom Other</t>
  </si>
  <si>
    <t>COMCUSTOTH</t>
  </si>
  <si>
    <t>505</t>
  </si>
  <si>
    <t>Furnaces</t>
  </si>
  <si>
    <t>Radiant Heaters</t>
  </si>
  <si>
    <t>HVAC</t>
  </si>
  <si>
    <t>Lynden</t>
  </si>
  <si>
    <t>98264</t>
  </si>
  <si>
    <t>Boilers</t>
  </si>
  <si>
    <t>98223</t>
  </si>
  <si>
    <t>Insulation</t>
  </si>
  <si>
    <t>Hoquiam</t>
  </si>
  <si>
    <t>Grays Harbor</t>
  </si>
  <si>
    <t>Coast Insulation</t>
  </si>
  <si>
    <t>LOADED  UTILITY  BENEFIT  TO  COST  RATIO</t>
  </si>
  <si>
    <t>TOTAL  RESOURCE  COST</t>
  </si>
  <si>
    <t>TRC  W/DELIVERY  &amp;  ADMIN</t>
  </si>
  <si>
    <t>LOADED  SOCIETAL  BENEFIT  TO  COST  RATIO</t>
  </si>
  <si>
    <t>UC  W/DELIVERY  &amp;  ADMIN</t>
  </si>
  <si>
    <t>UTILITY  COST</t>
  </si>
  <si>
    <t>TOTAL ANNUAL THERM SAVINGS</t>
  </si>
  <si>
    <t>MEASURE INCREMENTAL COST</t>
  </si>
  <si>
    <t>TOTAL INCREMENTAL COST</t>
  </si>
  <si>
    <t>PARTICIPANT NEBS</t>
  </si>
  <si>
    <t>TOTAL  NET  INCREMENTAL  COST  WITH  NEBS</t>
  </si>
  <si>
    <t>MEASURE LIFE</t>
  </si>
  <si>
    <t>DISCOUNTED THERM SAVINGS</t>
  </si>
  <si>
    <t>PROGRAM DELIVERY AND ADMIN</t>
  </si>
  <si>
    <t>PROGRAM REBATE</t>
  </si>
  <si>
    <t>CALCULATED REBATE COST</t>
  </si>
  <si>
    <t>UNIT</t>
  </si>
  <si>
    <t>ANNUAL THERM SAVINGS</t>
  </si>
  <si>
    <t>Measure Mapping</t>
  </si>
  <si>
    <t>IRP ANNUAL 
 PORTFOLIO 
 COST PER 
 THERM (PV)*</t>
  </si>
  <si>
    <t>NOMINAL 
 COST 
 PER 
 THERM</t>
  </si>
  <si>
    <t>PV OF 
 RESOURCE 
 PORTFOLIO 
 COST/THERM</t>
  </si>
  <si>
    <t>NON 
 ENERGY 
 BENEFIT</t>
  </si>
  <si>
    <t>PORTFOLIO 
 COSTS  WITH 
 CONSERVATION 
 CREDIT</t>
  </si>
  <si>
    <t>Superior Insulation Products</t>
  </si>
  <si>
    <t>Ironwood Manufacturing Company</t>
  </si>
  <si>
    <t xml:space="preserve">6405 172ND ST NE # A                                            </t>
  </si>
  <si>
    <t>98225</t>
  </si>
  <si>
    <t>Apollo Sheet Metal</t>
  </si>
  <si>
    <t>COMDHWTSCT-4-1-22</t>
  </si>
  <si>
    <t>EFF 4-1-22</t>
  </si>
  <si>
    <t>Consolidated Supply</t>
  </si>
  <si>
    <t>Eastwood Plumbing - Const., Inc</t>
  </si>
  <si>
    <t>Young's Heating &amp; Cooling</t>
  </si>
  <si>
    <t>Valley Church</t>
  </si>
  <si>
    <t>246 Brock St</t>
  </si>
  <si>
    <t>99362-2655</t>
  </si>
  <si>
    <t>Minimum 91% AFUE</t>
  </si>
  <si>
    <t>Grassi Refrigeration Sales &amp; Service</t>
  </si>
  <si>
    <t>Rinnai RU160iN</t>
  </si>
  <si>
    <t>Trane S9X1C100U5PSBA</t>
  </si>
  <si>
    <t>Vance Heating and AC Inc</t>
  </si>
  <si>
    <t>Less than 80%</t>
  </si>
  <si>
    <t>COMBOILERS-4-1-22</t>
  </si>
  <si>
    <t>ATH KN-26</t>
  </si>
  <si>
    <t>BREMERTON SCHOOL DISTRICT</t>
  </si>
  <si>
    <t>COMIWT2-4-1-22</t>
  </si>
  <si>
    <t>Custom Insulation</t>
  </si>
  <si>
    <t>COMCUSTINS</t>
  </si>
  <si>
    <t>COMFLOORINS-4-1-22</t>
  </si>
  <si>
    <t>COMIRT2-4-1-22</t>
  </si>
  <si>
    <t>Esary Roofing &amp; Siding Co Inc</t>
  </si>
  <si>
    <t>Windows - Tier 1</t>
  </si>
  <si>
    <t>COMWINDOWS-4-1-22</t>
  </si>
  <si>
    <t>Single pane to .30 or less (not LoadMAP's .50 to .22) per sq ft</t>
  </si>
  <si>
    <t>0.30 or less U</t>
  </si>
  <si>
    <t>Minimum 85% Thermal Efficiency and 300 kBtu/hr input</t>
  </si>
  <si>
    <t>COMHVACBNS2012</t>
  </si>
  <si>
    <t>COMRADNTBNDL</t>
  </si>
  <si>
    <t>Bonus - Radiant Bundle E (radiant &amp; insulation)</t>
  </si>
  <si>
    <t>Radiant Bundle E</t>
  </si>
  <si>
    <t>Any combination of radiant heating and insulation</t>
  </si>
  <si>
    <t>COMDCV-4-1-22</t>
  </si>
  <si>
    <t>COMFSCVROVEN-4-1-22</t>
  </si>
  <si>
    <t>COMFSGRIDGROC-4-1-22</t>
  </si>
  <si>
    <t>COMOZNLNDRY-4-1-22</t>
  </si>
  <si>
    <t>Single pane to .22 or less (not LoadMAP's .50 to .22) per sq ft</t>
  </si>
  <si>
    <t>COMWINDOW2-4-1-22</t>
  </si>
  <si>
    <t>Kirk Alden Plumbing</t>
  </si>
  <si>
    <t>008622-C-Kirk Alden Plumbing</t>
  </si>
  <si>
    <t>1392 W Pine St</t>
  </si>
  <si>
    <t>008624-C-Ironwood Manufacturi</t>
  </si>
  <si>
    <t>008598-C-ABUNDANT LIFE TABERN</t>
  </si>
  <si>
    <t>ABUNDANT LIFE TABERNACLE</t>
  </si>
  <si>
    <t>1625 E ALDER ST</t>
  </si>
  <si>
    <t>Southbend SLGS/22SC</t>
  </si>
  <si>
    <t>Food Service Equipment</t>
  </si>
  <si>
    <t>008602-C-MASON CO SENIOR ACTI</t>
  </si>
  <si>
    <t>MASON CO SENIOR ACTIVITY ASSOCIATION CENTER</t>
  </si>
  <si>
    <t>190 W SENTRY DR</t>
  </si>
  <si>
    <t>Shelton</t>
  </si>
  <si>
    <t>98584</t>
  </si>
  <si>
    <t>Mason</t>
  </si>
  <si>
    <t>Baxter OV500G2-EE</t>
  </si>
  <si>
    <t>Washington State Department of Corrections</t>
  </si>
  <si>
    <t>008606-C-STAFFORD CREEK CORRE</t>
  </si>
  <si>
    <t>STAFFORD CREEK CORRECTION FAC.</t>
  </si>
  <si>
    <t>791 SR 105</t>
  </si>
  <si>
    <t>98520</t>
  </si>
  <si>
    <t>Bonus E - Radiant</t>
  </si>
  <si>
    <t>Environmental Insulation &amp; Contracting LLC</t>
  </si>
  <si>
    <t>Sedron Technologies</t>
  </si>
  <si>
    <t>008579-C-Sedron Technologies</t>
  </si>
  <si>
    <t>500 Metcalf St Ste A2</t>
  </si>
  <si>
    <t>98284</t>
  </si>
  <si>
    <t>Keller Supply Company</t>
  </si>
  <si>
    <t>Conquest 100L 130A-GCML</t>
  </si>
  <si>
    <t>008617-C-STAFFORD CREEK CORRE</t>
  </si>
  <si>
    <t>Fowler General Construction</t>
  </si>
  <si>
    <t>Triton GHE100SS-200</t>
  </si>
  <si>
    <t>Prosser School District No. 116</t>
  </si>
  <si>
    <t>008609-C-PROSSER SCHOOL DIST</t>
  </si>
  <si>
    <t>PROSSER SCHOOL DIST</t>
  </si>
  <si>
    <t>832 PARK AVE</t>
  </si>
  <si>
    <t>Prosser</t>
  </si>
  <si>
    <t>99350-1264</t>
  </si>
  <si>
    <t>Triton GHE100SS-250</t>
  </si>
  <si>
    <t>008610-C-PROSSER HEIGHTS ELEM</t>
  </si>
  <si>
    <t>PROSSER HEIGHTS ELEMENTARY</t>
  </si>
  <si>
    <t>2008 MILLER AVE</t>
  </si>
  <si>
    <t>99350</t>
  </si>
  <si>
    <t>FORMA Construction</t>
  </si>
  <si>
    <t>BW EF-60T-150E</t>
  </si>
  <si>
    <t>Kelso School District No 458</t>
  </si>
  <si>
    <t>008629-C-KELSO SCHOOL DISTRIC</t>
  </si>
  <si>
    <t>KELSO SCHOOL DISTRICT #458</t>
  </si>
  <si>
    <t>500 REDPATH ST</t>
  </si>
  <si>
    <t>Kelso</t>
  </si>
  <si>
    <t>98626-3737</t>
  </si>
  <si>
    <t>BW EF-100T-300E</t>
  </si>
  <si>
    <t>Silverline, LLC</t>
  </si>
  <si>
    <t>Lochinvar AWH0400NPM</t>
  </si>
  <si>
    <t>The Alegre LLC</t>
  </si>
  <si>
    <t>008588-C-The Alegre LLC</t>
  </si>
  <si>
    <t>1520 N OREGON AVE</t>
  </si>
  <si>
    <t>99301-4256</t>
  </si>
  <si>
    <t>Columbia Basin Plumbing</t>
  </si>
  <si>
    <t>Rheem GHE100SU-200</t>
  </si>
  <si>
    <t>CV The Franklin LLC</t>
  </si>
  <si>
    <t xml:space="preserve">008589-C-Richland Investment </t>
  </si>
  <si>
    <t>Richland Investment Group LLC</t>
  </si>
  <si>
    <t>1515 GEORGE WASHINGTON WAY</t>
  </si>
  <si>
    <t>99354-2602</t>
  </si>
  <si>
    <t>AO Smith BTH-199</t>
  </si>
  <si>
    <t>Pasco School District No 1</t>
  </si>
  <si>
    <t>008592-C-Pasco School Distric</t>
  </si>
  <si>
    <t>Pasco School District</t>
  </si>
  <si>
    <t>3410 N Stearman Ave</t>
  </si>
  <si>
    <t>Custom DDC Controls</t>
  </si>
  <si>
    <t>COMCUSTDDC</t>
  </si>
  <si>
    <t>HVAC Control Upgrades</t>
  </si>
  <si>
    <t>ATS Automation, Inc.</t>
  </si>
  <si>
    <t>City of Sedro-Woolley School District No.101</t>
  </si>
  <si>
    <t>008586-C-SEDRO-WOOLLEY SCH DI</t>
  </si>
  <si>
    <t>SEDRO-WOOLLEY SCH DIST 101</t>
  </si>
  <si>
    <t>1235 3rd St</t>
  </si>
  <si>
    <t>Coffee roaster</t>
  </si>
  <si>
    <t>Loring S70</t>
  </si>
  <si>
    <t>Tony's Coffees &amp; Teas, Inc</t>
  </si>
  <si>
    <t>008607-C-TONY'S COFFEE AND TE</t>
  </si>
  <si>
    <t>TONY'S COFFEE AND TEA INC</t>
  </si>
  <si>
    <t xml:space="preserve">2033 DIVISION ST                                 </t>
  </si>
  <si>
    <t>98226-8058</t>
  </si>
  <si>
    <t>Goodman GM9C960603BN</t>
  </si>
  <si>
    <t>008621-C-Realty One Group Tra</t>
  </si>
  <si>
    <t>Realty One Group Traditions</t>
  </si>
  <si>
    <t>1023 S 32nd Ave</t>
  </si>
  <si>
    <t>98902</t>
  </si>
  <si>
    <t>All Seasons Heating and AC</t>
  </si>
  <si>
    <t>Carrier 59SC5B120E24</t>
  </si>
  <si>
    <t>gas furnace &lt;90%</t>
  </si>
  <si>
    <t>Temple Shalom</t>
  </si>
  <si>
    <t>008623-C-TEMPLE SHALOM</t>
  </si>
  <si>
    <t>TEMPLE SHALOM</t>
  </si>
  <si>
    <t>1517 BROWNE AVE</t>
  </si>
  <si>
    <t>98902-3009</t>
  </si>
  <si>
    <t>Robbins Air, Inc</t>
  </si>
  <si>
    <t>AS S9X1B060U4PSBAB</t>
  </si>
  <si>
    <t>United Christian Church</t>
  </si>
  <si>
    <t>008611-C-UNITED CHRISTIAN CHU</t>
  </si>
  <si>
    <t>UNITED CHRISTIAN CHURCH</t>
  </si>
  <si>
    <t>300 W 1ST ST</t>
  </si>
  <si>
    <t>Carrier 59SC5B080E211120</t>
  </si>
  <si>
    <t>Hoquiam Lodge #1082 BPOE</t>
  </si>
  <si>
    <t>008612-C-HOQUIAM ELKS LODGE #</t>
  </si>
  <si>
    <t>HOQUIAM ELKS LODGE #1082</t>
  </si>
  <si>
    <t>624 K ST</t>
  </si>
  <si>
    <t>98550-3536</t>
  </si>
  <si>
    <t>Carrier 59SC5B120E241122</t>
  </si>
  <si>
    <t>Carrier 59SC5S100E21</t>
  </si>
  <si>
    <t>Whitman College</t>
  </si>
  <si>
    <t>008614-C-WHITMAN COLLEGE MUSI</t>
  </si>
  <si>
    <t>WHITMAN COLLEGE MUSIC CENTER</t>
  </si>
  <si>
    <t>137 S PARK ST</t>
  </si>
  <si>
    <t>99362-2036</t>
  </si>
  <si>
    <t>Dan Townley Plumbing</t>
  </si>
  <si>
    <t>Rennai RU160i</t>
  </si>
  <si>
    <t>Nameless Performance, Inc.</t>
  </si>
  <si>
    <t>008615-C-Nameless Performance</t>
  </si>
  <si>
    <t>Nameless Performance Inc</t>
  </si>
  <si>
    <t>1061 DALE ST</t>
  </si>
  <si>
    <t>Woodland</t>
  </si>
  <si>
    <t>98674-9435</t>
  </si>
  <si>
    <t>J &amp; M Contractor Services Inc</t>
  </si>
  <si>
    <t>Dayton 7AR80</t>
  </si>
  <si>
    <t>Dayton 3E133</t>
  </si>
  <si>
    <t>Bryant 915SB66100E21</t>
  </si>
  <si>
    <t>CapAire A2-D.500-20D</t>
  </si>
  <si>
    <t>Dog Haus</t>
  </si>
  <si>
    <t>008599-C-DogHaus Tricities</t>
  </si>
  <si>
    <t>DogHaus Tricities</t>
  </si>
  <si>
    <t>7425 Sandifur Pkwy Ste 102</t>
  </si>
  <si>
    <t>Americool</t>
  </si>
  <si>
    <t>Less than 90%</t>
  </si>
  <si>
    <t>Joyco LLC</t>
  </si>
  <si>
    <t>008600-C-JOYCO LLC</t>
  </si>
  <si>
    <t>JOYCO LLC</t>
  </si>
  <si>
    <t xml:space="preserve">4212 W CLEARWATER AVE STE C                                     </t>
  </si>
  <si>
    <t>99336-2626</t>
  </si>
  <si>
    <t>MBI Construction Services, Inc</t>
  </si>
  <si>
    <t>Carrier 59TP6B060V17-14</t>
  </si>
  <si>
    <t>Yakima Worker Care PLLC</t>
  </si>
  <si>
    <t>008608-C-YAKIMA WORKER CARE</t>
  </si>
  <si>
    <t>YAKIMA WORKER CARE</t>
  </si>
  <si>
    <t>409 S 12TH AVE # 1</t>
  </si>
  <si>
    <t>98902-3114</t>
  </si>
  <si>
    <t>Carrier 59TP6B080V21-20</t>
  </si>
  <si>
    <t>Carrier 59TP6B120V24-22</t>
  </si>
  <si>
    <t>Farwest Climate Control</t>
  </si>
  <si>
    <t>AS S9V2B080U4PS</t>
  </si>
  <si>
    <t>Central Washington Home Builders Association</t>
  </si>
  <si>
    <t>008627-C-Central WA Home Builders Assoc</t>
  </si>
  <si>
    <t>Central WA Home Builders Assoc</t>
  </si>
  <si>
    <t>3301 W NOB HILL BLVD</t>
  </si>
  <si>
    <t>98902-4962</t>
  </si>
  <si>
    <t>Burke's Plumbing</t>
  </si>
  <si>
    <t>CaptiveAire D76</t>
  </si>
  <si>
    <t>Jersey Mikes Subs</t>
  </si>
  <si>
    <t>008576-C-Jersey Mikes Subs</t>
  </si>
  <si>
    <t>5326 Road 68 Ste 102</t>
  </si>
  <si>
    <t>Toolfetch</t>
  </si>
  <si>
    <t>SunStar SIS 150</t>
  </si>
  <si>
    <t>Ronald Braakman</t>
  </si>
  <si>
    <t>008577-C-RONALD BRAAKMAN</t>
  </si>
  <si>
    <t>RONALD BRAAKMAN</t>
  </si>
  <si>
    <t>100 E MEYER LAKE RD - GREENHOUSE</t>
  </si>
  <si>
    <t>98584-6466</t>
  </si>
  <si>
    <t>Ray Heating &amp; AC, Inc.</t>
  </si>
  <si>
    <t>Coleman TM9Y100C20MP11</t>
  </si>
  <si>
    <t>Kristan Plank</t>
  </si>
  <si>
    <t>008578-C-NW Cheer SilverStars</t>
  </si>
  <si>
    <t>NW Cheer SilverStars</t>
  </si>
  <si>
    <t>1997 DIVISION ST</t>
  </si>
  <si>
    <t>98226</t>
  </si>
  <si>
    <t>American Air Heating &amp; Cooling</t>
  </si>
  <si>
    <t>Trane S9X1B060D3PSBAB</t>
  </si>
  <si>
    <t>Birthright of Walla Walla</t>
  </si>
  <si>
    <t xml:space="preserve">008632-C-BIRTHRIGHT OF WALLA </t>
  </si>
  <si>
    <t>BIRTHRIGHT OF WALLA WALLA</t>
  </si>
  <si>
    <t>609 W BIRCH ST</t>
  </si>
  <si>
    <t>99362-2768</t>
  </si>
  <si>
    <t>Infrasave IL-0100-NG</t>
  </si>
  <si>
    <t>CaptiveAire A2-D250-20D</t>
  </si>
  <si>
    <t>1derful K BBQ</t>
  </si>
  <si>
    <t>008580-C-Wonderful Foot Park</t>
  </si>
  <si>
    <t>Wonderful Foot Park</t>
  </si>
  <si>
    <t>6494 W Skagit Ave # 140</t>
  </si>
  <si>
    <t>Ferguson Enterprises #3007</t>
  </si>
  <si>
    <t>CaptiveAire A1-D250-15D</t>
  </si>
  <si>
    <t>Engie Insight Services, Inc</t>
  </si>
  <si>
    <t>008584-C-Chipotle Mexican Gri</t>
  </si>
  <si>
    <t>Chipotle Mexican Grill</t>
  </si>
  <si>
    <t>5326 Road 68 Ste 103</t>
  </si>
  <si>
    <t>Energy Saving Products, Inc.</t>
  </si>
  <si>
    <t>Vantage HEV-100</t>
  </si>
  <si>
    <t>Dayton 5VD65</t>
  </si>
  <si>
    <t>Non-functioning radiant</t>
  </si>
  <si>
    <t>Lampson International LLC</t>
  </si>
  <si>
    <t>008594-C-Neil F Lampson Inc</t>
  </si>
  <si>
    <t>Neil F Lampson Inc</t>
  </si>
  <si>
    <t>710 E COLUMBIA DR</t>
  </si>
  <si>
    <t>99336-3770</t>
  </si>
  <si>
    <t>Dayton 3E134</t>
  </si>
  <si>
    <t>Chris Johnson Plumbing</t>
  </si>
  <si>
    <t>Navien NPE-240S2</t>
  </si>
  <si>
    <t>Walla Walla Catholic Schools</t>
  </si>
  <si>
    <t>008618-C-WALLA WALLA CATHOLIC</t>
  </si>
  <si>
    <t>WALLA WALLA CATHOLIC SCHOOLS</t>
  </si>
  <si>
    <t>919 E SUMACH ST</t>
  </si>
  <si>
    <t>99362-1349</t>
  </si>
  <si>
    <t>AMB Tools and Equip</t>
  </si>
  <si>
    <t>Navien NPE-240S2NG</t>
  </si>
  <si>
    <t>Evans Fruit Co.</t>
  </si>
  <si>
    <t>008616-C-EVANS FRUIT COMPANY</t>
  </si>
  <si>
    <t>EVANS FRUIT COMPANY</t>
  </si>
  <si>
    <t>5002 TIETON DR</t>
  </si>
  <si>
    <t>98908-3452</t>
  </si>
  <si>
    <t>Noritz NCC199CDV</t>
  </si>
  <si>
    <t>Skagit Unitarian Universalist Fellowship</t>
  </si>
  <si>
    <t>008603-C-SKAGIT U. U. FELLOWS</t>
  </si>
  <si>
    <t>SKAGIT U. U. FELLOWSHIP</t>
  </si>
  <si>
    <t>500 W SECTION ST</t>
  </si>
  <si>
    <t>98273-4870</t>
  </si>
  <si>
    <t>Navien NPE-240A2</t>
  </si>
  <si>
    <t>Best Western Plus Hotel and Convention Center</t>
  </si>
  <si>
    <t>008604-C-BEST WESTERN</t>
  </si>
  <si>
    <t>BEST WESTERN</t>
  </si>
  <si>
    <t xml:space="preserve">33175 STATE ROUTE 20                                            </t>
  </si>
  <si>
    <t>98277-8713</t>
  </si>
  <si>
    <t>Lombardi's Bellingham</t>
  </si>
  <si>
    <t>008626-C-Lombardi's in Bellin</t>
  </si>
  <si>
    <t>Lombardi's in Bellingham</t>
  </si>
  <si>
    <t>21 BELLWETHER WAY STE 112</t>
  </si>
  <si>
    <t>Hendrickson Fir Grove LLC</t>
  </si>
  <si>
    <t>008628-C-Hendrickson Fir Grov</t>
  </si>
  <si>
    <t>1215 W 4TH AVE</t>
  </si>
  <si>
    <t>99336-5071</t>
  </si>
  <si>
    <t>Alden Plumbing LLC</t>
  </si>
  <si>
    <t>Vesta VRS-199</t>
  </si>
  <si>
    <t>Buaidh No Bas LLC</t>
  </si>
  <si>
    <t>008581-C-Buaidh No Bas LLC</t>
  </si>
  <si>
    <t>2617 W KENNEWICK AVE</t>
  </si>
  <si>
    <t>99336-3124</t>
  </si>
  <si>
    <t>Mantis Enterprises, Inc</t>
  </si>
  <si>
    <t>008590-C-BRUCHI'S</t>
  </si>
  <si>
    <t>BRUCHI'S</t>
  </si>
  <si>
    <t>2615 W KENNEWICK AVE</t>
  </si>
  <si>
    <t>Riello AR 2000</t>
  </si>
  <si>
    <t>Proctor Sales, Inc.</t>
  </si>
  <si>
    <t>Riello Array 500 SE</t>
  </si>
  <si>
    <t>Lochinvar FBN2001</t>
  </si>
  <si>
    <t>NW Boiler Inc</t>
  </si>
  <si>
    <t>Raypak H7-1007</t>
  </si>
  <si>
    <t>Bremerton School District</t>
  </si>
  <si>
    <t>008613-C-BREMERTON SCHOOL DIS</t>
  </si>
  <si>
    <t>2400 PERRY AVE</t>
  </si>
  <si>
    <t>98310-5139</t>
  </si>
  <si>
    <t>Aerco BMK750</t>
  </si>
  <si>
    <t>Burton Construction Inc</t>
  </si>
  <si>
    <t xml:space="preserve">Lochinvar FTX500N </t>
  </si>
  <si>
    <t>WSU - Mount Vernon</t>
  </si>
  <si>
    <t>008631-C-WSU AG RESEARCH BUIL</t>
  </si>
  <si>
    <t>WSU AG RESEARCH BUILDING</t>
  </si>
  <si>
    <t>16650 SR 536</t>
  </si>
  <si>
    <t>98273-4768</t>
  </si>
  <si>
    <t>Apex Mechanical, LLC</t>
  </si>
  <si>
    <t>Riello AR3000</t>
  </si>
  <si>
    <t>Othello School District #147</t>
  </si>
  <si>
    <t>008633-C-OTHELLO SCHOOL DISTR</t>
  </si>
  <si>
    <t>OTHELLO SCHOOL DISTRICT</t>
  </si>
  <si>
    <t>340 S 7TH AVE</t>
  </si>
  <si>
    <t>Othello</t>
  </si>
  <si>
    <t>99344-1404</t>
  </si>
  <si>
    <t>Adams</t>
  </si>
  <si>
    <t>Hurley Engineering</t>
  </si>
  <si>
    <t>PK ST-1250</t>
  </si>
  <si>
    <t>Less than 85%</t>
  </si>
  <si>
    <t>Skagit Valley College</t>
  </si>
  <si>
    <t>008634-C-SKAGIT VALLEY COMMUN</t>
  </si>
  <si>
    <t>SKAGIT VALLEY COMMUNITY COLLEGE</t>
  </si>
  <si>
    <t>1900 SE PIONEER WAY</t>
  </si>
  <si>
    <t>Cole Industrial, Inc.</t>
  </si>
  <si>
    <t>CleaverBrooks CFC-E-700-1000</t>
  </si>
  <si>
    <t>R13 wall insulation</t>
  </si>
  <si>
    <t>008619-C-Valley Church</t>
  </si>
  <si>
    <t>R49 attic insulation</t>
  </si>
  <si>
    <t>PNW Energy Services</t>
  </si>
  <si>
    <t>Sakuma Bros. Farms, Inc</t>
  </si>
  <si>
    <t>008620-C-SAKUMA BROS FARMS</t>
  </si>
  <si>
    <t>SAKUMA BROS FARMS</t>
  </si>
  <si>
    <t>9765 CHUCKANUT DR</t>
  </si>
  <si>
    <t>98233-9671</t>
  </si>
  <si>
    <t>R21 floor insulation</t>
  </si>
  <si>
    <t>Rene Arellano</t>
  </si>
  <si>
    <t>Systems West Construction</t>
  </si>
  <si>
    <t>Bellingham Slavic Gospel Church</t>
  </si>
  <si>
    <t>008595-C-BELLINGHAM SLAVIC GO</t>
  </si>
  <si>
    <t>BELLINGHAM SLAVIC GOSPEL CHURCH</t>
  </si>
  <si>
    <t>276 HARVEST WAY</t>
  </si>
  <si>
    <t>Chuckanut Bay Distillery</t>
  </si>
  <si>
    <t>008596-C-Chuckanut Bay Distil</t>
  </si>
  <si>
    <t>1309 CORNWALL AVE</t>
  </si>
  <si>
    <t>98225-4716</t>
  </si>
  <si>
    <t>008597-C-Valley Church</t>
  </si>
  <si>
    <t>General Plus Insulation, LLC &amp; Gutters</t>
  </si>
  <si>
    <t>Curtis/Broman Real Estate</t>
  </si>
  <si>
    <t>008630-C-Curtis/Broman Real E</t>
  </si>
  <si>
    <t>225 S 1st St</t>
  </si>
  <si>
    <t>98273</t>
  </si>
  <si>
    <t>R40 attic insulation</t>
  </si>
  <si>
    <t>Christian Hope Association</t>
  </si>
  <si>
    <t>008582-C-Christian Hope Association</t>
  </si>
  <si>
    <t>205 S BRITISH COLUMBIA AVE #B,C,F-2</t>
  </si>
  <si>
    <t>008583-C-Lynden School Distri</t>
  </si>
  <si>
    <t>Lynden School District #504</t>
  </si>
  <si>
    <t>516 Main St</t>
  </si>
  <si>
    <t>98264-1326</t>
  </si>
  <si>
    <t>East Valley Insulation, LLC</t>
  </si>
  <si>
    <t>Walt Nelson Insurance</t>
  </si>
  <si>
    <t>008585-C-WALT NELSON INSURANC</t>
  </si>
  <si>
    <t>WALT NELSON INSURANCE</t>
  </si>
  <si>
    <t>313 S WAPATO AVE</t>
  </si>
  <si>
    <t>Wapato</t>
  </si>
  <si>
    <t>98951-1346</t>
  </si>
  <si>
    <t>Mobile Manor Inc</t>
  </si>
  <si>
    <t>008593-C-MOBILE MANOR</t>
  </si>
  <si>
    <t>MOBILE MANOR</t>
  </si>
  <si>
    <t>8301 TIETON DR</t>
  </si>
  <si>
    <t>98908-1471</t>
  </si>
  <si>
    <t>Shea Properties</t>
  </si>
  <si>
    <t>008625-C-BILL DEWEBER</t>
  </si>
  <si>
    <t>BILL DEWEBER</t>
  </si>
  <si>
    <t>11 E CHESTNUT ST</t>
  </si>
  <si>
    <t>99362-4070</t>
  </si>
  <si>
    <t>Jim's Glass Shop</t>
  </si>
  <si>
    <t>DBL-D Construction</t>
  </si>
  <si>
    <t>St. Rose</t>
  </si>
  <si>
    <t>008601-C-ST. ROSE COMPLEX</t>
  </si>
  <si>
    <t>ST. ROSE COMPLEX</t>
  </si>
  <si>
    <t>2571 NICHOLS BLVD (CHAPEL)</t>
  </si>
  <si>
    <t>98632-1839</t>
  </si>
  <si>
    <t>008591-C-ABUNDANT LIFE TABERN</t>
  </si>
  <si>
    <t>Adjusted formula</t>
  </si>
  <si>
    <t>Cascade Plan - Measure Mapping</t>
  </si>
  <si>
    <t>LoadMap - Measure Mapping</t>
  </si>
  <si>
    <t>Cascade Plan - Value Comparison</t>
  </si>
  <si>
    <t>LoadMap - Value Comparison</t>
  </si>
  <si>
    <t>LoadMap Participation</t>
  </si>
  <si>
    <t>LoadMap UCT Potential (MWh)</t>
  </si>
  <si>
    <t>LoadMap TRC Potential (MWh)</t>
  </si>
  <si>
    <t>Key</t>
  </si>
  <si>
    <t>Item</t>
  </si>
  <si>
    <t>Sector</t>
  </si>
  <si>
    <t>EFFICIENCY  RATING</t>
  </si>
  <si>
    <t>LoadMap Measure Name</t>
  </si>
  <si>
    <t>Segment</t>
  </si>
  <si>
    <t>Vintage</t>
  </si>
  <si>
    <t>Baseline</t>
  </si>
  <si>
    <t>Efficient Definition</t>
  </si>
  <si>
    <t>Notes for AEG Review Mapping Notes</t>
  </si>
  <si>
    <t>Therm Savings (per unit)</t>
  </si>
  <si>
    <t>Unit of Measure</t>
  </si>
  <si>
    <t>Incremental Cost ($)</t>
  </si>
  <si>
    <t>Measure Lifetime</t>
  </si>
  <si>
    <t>Measure Incentive ($)</t>
  </si>
  <si>
    <t>UES (Annual therms)</t>
  </si>
  <si>
    <t>Unit Adjusted UES</t>
  </si>
  <si>
    <t>Updated Unit</t>
  </si>
  <si>
    <t>Unit Incremental Cost (2019$)</t>
  </si>
  <si>
    <t>Measure Incentive</t>
  </si>
  <si>
    <t>9/6 CNGC Discussion Notes</t>
  </si>
  <si>
    <t>Commercial</t>
  </si>
  <si>
    <t>All</t>
  </si>
  <si>
    <t>Existing</t>
  </si>
  <si>
    <t>TE 80%</t>
  </si>
  <si>
    <t>TE 94% (ENERGY STAR 1.0)</t>
  </si>
  <si>
    <t>- Relied on manual calculations in "Boiler &amp; WH Calcs" tab for savings. Confirm calculations.
- Baseline used in Measure Summary from LoadMap is 94% efficiency. Should we recommend an update to the measure?
- Incentive and LoadMap potential pulled from "TE 98%" version of measure.</t>
  </si>
  <si>
    <t>kBtu/hr</t>
  </si>
  <si>
    <t>N/A</t>
  </si>
  <si>
    <t>513.550054507209 kBtu/hr</t>
  </si>
  <si>
    <t xml:space="preserve">Use a delta of ~10% above code minimum historically.  New baseline is 84% from 80%. Recommend to move minimum up to 94%.   Plenty of offerings and install opportunities in that range.  This would keep savings assumptions the same (still 10% delta).   TRC doesn't typically see 90/91% anymore, and 98% are very rare to see.   Recommend no/minimal change in incentive value. </t>
  </si>
  <si>
    <t>TE 84% (2023 Standard)</t>
  </si>
  <si>
    <t>Steam Trap Maintenance</t>
  </si>
  <si>
    <t>Degrade performance</t>
  </si>
  <si>
    <t>Cleaning and maintenance</t>
  </si>
  <si>
    <t>BoilerCtrl</t>
  </si>
  <si>
    <t>Clothes Washer</t>
  </si>
  <si>
    <t>1.8 MEF</t>
  </si>
  <si>
    <t>Commercial Clothes Washers - ENERGY STAR</t>
  </si>
  <si>
    <t>Standard laundry machine</t>
  </si>
  <si>
    <t>ESTAR/High MEF unit installed</t>
  </si>
  <si>
    <t>ClothesWashers</t>
  </si>
  <si>
    <t>Oven</t>
  </si>
  <si>
    <t>Grocery</t>
  </si>
  <si>
    <t>Standard</t>
  </si>
  <si>
    <t>ENERGY STAR (3.0)</t>
  </si>
  <si>
    <t>1 unit</t>
  </si>
  <si>
    <t>Lodging</t>
  </si>
  <si>
    <t>Restaurant</t>
  </si>
  <si>
    <t>Education</t>
  </si>
  <si>
    <t>HVAC - Demand Controlled Ventilation</t>
  </si>
  <si>
    <t>Constant ventilation</t>
  </si>
  <si>
    <t>DCV enabled</t>
  </si>
  <si>
    <t>- Applied conversion factors from "Conversions" tab to align units of measure for measure impacts, incentive, and participation. Confirm conversion values are accurate.
- Should these conversion be applied to participation as well? Did not do this last time.</t>
  </si>
  <si>
    <t>ton</t>
  </si>
  <si>
    <t>sqft</t>
  </si>
  <si>
    <t>Water Heater - Central Controls</t>
  </si>
  <si>
    <t>No central controls</t>
  </si>
  <si>
    <t>Central water boiler controls installed</t>
  </si>
  <si>
    <t>- Difference in units (Plan on a per controller basis, CPA on a per building basis, would need a controller per building conversion factor).
- No UCT or TRC potential for measure.</t>
  </si>
  <si>
    <t>perBldg</t>
  </si>
  <si>
    <t xml:space="preserve">We see small savings amounts and small cost.   Very minimal if any uptake over the past 5 years.   Okay will keeping the same offerings or dropping from program (if no potential exists across territory). Not typically a single measure, its seen more often in multi-family. Most of the buildings in territory we believe have already done it. (low hanging fruits, particularly in schools).   This is a cheap offerings that could work with Direct Digital Control system upgrades. </t>
  </si>
  <si>
    <t>Water Heater</t>
  </si>
  <si>
    <t>TE 94% (ENERGY STAR 2.0)</t>
  </si>
  <si>
    <t>- Converted measure impacts to align efficiency levels.</t>
  </si>
  <si>
    <t>1 kBtu/hr</t>
  </si>
  <si>
    <t xml:space="preserve">Most commercial tank heaters we see are in 92-94% range.  Recommend no change from past tariff.  AEG please confirm if code has changed from 2 years ago. If it has changed, then add that change in efficiency percent to our efficiency requirement. </t>
  </si>
  <si>
    <t>FTSC Qualified (&gt;50% Cooking Efficiency)</t>
  </si>
  <si>
    <t>Conveyor Oven</t>
  </si>
  <si>
    <t>Efficient (&gt;44% Baking Efficiency)</t>
  </si>
  <si>
    <t>Griddle</t>
  </si>
  <si>
    <t>ENERGY STAR</t>
  </si>
  <si>
    <t>Minimum 92% AFUE</t>
  </si>
  <si>
    <t>Unit Heater</t>
  </si>
  <si>
    <t>Condensing</t>
  </si>
  <si>
    <t>- Measure impacts taken from Tech Data. Confirm the units from Tech data align with the CNGC data units.
- Incentive and LoadMap potential pulled from "Infrared Radiant" version of measure.</t>
  </si>
  <si>
    <t>kBtu/Hr</t>
  </si>
  <si>
    <t>HVAC Unit Heater - Non-Condensing</t>
  </si>
  <si>
    <t>Minimum 86% AFUE</t>
  </si>
  <si>
    <t>- No equivalent measure from LoadMap. Confirm this.</t>
  </si>
  <si>
    <t xml:space="preserve">Okay to remove if loadmap finds no Cost effective savings across all territories. Very little uptake/interest over the past 5 years.  Condsensing seems to be by far more popular. </t>
  </si>
  <si>
    <t>Insulation - Attic - Min R-30</t>
  </si>
  <si>
    <t>Minimum R-30</t>
  </si>
  <si>
    <t>Insulation - Roof/Ceiling</t>
  </si>
  <si>
    <t>R-13</t>
  </si>
  <si>
    <t>R-38</t>
  </si>
  <si>
    <t>Sq. Ft. roof</t>
  </si>
  <si>
    <t>sqft roof</t>
  </si>
  <si>
    <t>Insulation - Attic - Min R-45</t>
  </si>
  <si>
    <t>Minimum R-45</t>
  </si>
  <si>
    <t>Sq. Ft.</t>
  </si>
  <si>
    <t xml:space="preserve">This does come up and there is interest in it, even if loadmap does not have a line item for it.  Recommend no change if UTC calculations can allow it, keep it in the program.   CNGC would like to offer as many insulation measures as possible.  AEG please confirm no code change since 2021 Tariff. </t>
  </si>
  <si>
    <t>Gas Boiler - Insulate Hot Water Lines</t>
  </si>
  <si>
    <t>No insulation</t>
  </si>
  <si>
    <t>Insulated water lines</t>
  </si>
  <si>
    <t>boiler pipe</t>
  </si>
  <si>
    <t>- Used industrial version of measure for employee units (only accounted for "Space Heating" end use).</t>
  </si>
  <si>
    <t>employee</t>
  </si>
  <si>
    <t>Insulation - Roof - Min R-21</t>
  </si>
  <si>
    <t>Minimum R-21</t>
  </si>
  <si>
    <t xml:space="preserve">We can offer lower than code because we offer retrofit only, so code is not an issue. We currently offer R-30 only. We have a good uptake and customer response to R-30, no reason to offer R-21. </t>
  </si>
  <si>
    <t>Insulation - Roof - Min R-30</t>
  </si>
  <si>
    <t xml:space="preserve">We can offer lower than code because we offer retrofit only, so code is not an issue. Very little opportunity/no opportunity for commercial new construction roof insulation incentiviation. We currently offer R-30 only. We have a good uptake and customer response to R-30, no reason to offer R-21.   Keep only roof insulation offerings at R-30, keep savings assumptions and $$ amount the same. ($2.00 is likely a little rich, but we want to incentivize insulation measures as much as UCT calculations allow. Measure costs between $2.00-2.50 to install typcially. Drop to ~$1.50 if UCT caluclations require it).  Contractors love this measure and is a big contributor to therm savings. </t>
  </si>
  <si>
    <t>Insulation - Wall - Min R-19</t>
  </si>
  <si>
    <t>Minimum R-19</t>
  </si>
  <si>
    <t>Insulation - Wall Cavity</t>
  </si>
  <si>
    <t>R-11 or less</t>
  </si>
  <si>
    <t>R-21</t>
  </si>
  <si>
    <t>Sq. Ft. wall</t>
  </si>
  <si>
    <t>sqft wall</t>
  </si>
  <si>
    <t>Water Heater - Ozone Laundry</t>
  </si>
  <si>
    <t>Ozone laundry system</t>
  </si>
  <si>
    <t>site</t>
  </si>
  <si>
    <t>Infrared Radiant</t>
  </si>
  <si>
    <t>120 kBtu/Hr</t>
  </si>
  <si>
    <t>- Relied on manual calculations in "Boiler &amp; WH Calcs" tab for savings. Confirm calculations.
- Do participation values need to be converted as well?</t>
  </si>
  <si>
    <t>gpm</t>
  </si>
  <si>
    <t xml:space="preserve">Only 1 installed in 2023.  Not a lot of uptake or interest, most people if they got High efficiency they go for tier 2, typically 94% or 95%.   AEG please confirm code minimum.   Recommend dropping this lower Tier and only offering the higher tier.   Okay to keep in the 24/25 tarriff if Loadmap says there is potential, but then we must drop the # of expected units down very low. </t>
  </si>
  <si>
    <t xml:space="preserve">Recommend keeping only this higher efficiency level. Okay to bump to 94% efficiency, utilize savings assumptions from Loadmap (AEG confirm if these saving assumptions are significantly different than TRC's assumptions for 93%).    Okay to bump up incentive $$ if UCT calculations allow to push more volume than the 17 units in 2023. </t>
  </si>
  <si>
    <t>Furnace</t>
  </si>
  <si>
    <t>AFUE 80% (Standard)</t>
  </si>
  <si>
    <t>AFUE 91% (WA State Min 2023)</t>
  </si>
  <si>
    <t>- Baseline used in Measure Summary from LoadMap is 91% (WA State Min 2023) efficiency. Should we recommend an update to the measure?
- Measure impacts taken from Tech Data. Confirm the units from Tech data align with the CNGC data units.
- Incentive and LoadMap potential pulled from "AFUE 96%" version of measure.</t>
  </si>
  <si>
    <t xml:space="preserve">Code remains at 81% through 2021 WSEC change. (TRC can provide proof if needed)  91% could be offered still if we want.   Contractors in the area typically install 95%, there are alot of units at 95% .  TRC supports updating minimum to 94% assuming we can claim additional savings and make up a majority of the incremental cost from 91% to 94% upgrade.   96% would be difficult as contractors don't typically have access or like to install those units due to availablity/cost.  </t>
  </si>
  <si>
    <t>0.3 or less U</t>
  </si>
  <si>
    <t>Windows - High Efficiency</t>
  </si>
  <si>
    <t>U-.5 or worse</t>
  </si>
  <si>
    <t>U-.22 or better</t>
  </si>
  <si>
    <t>- Only window LoadMap measure is U-.22. Set mapping to N/A instead?</t>
  </si>
  <si>
    <t>Sq. Ft. window</t>
  </si>
  <si>
    <t>sqft window</t>
  </si>
  <si>
    <t xml:space="preserve">Retro-fit only, so code issue of offering u-30 is not an issue. Very little uptake on .22 so far in territory, u-30 is much more popular. Support keeping both tiers from 2022 tarriff,  consider upping $ amount if UCT supports it, particularly in U-22 to increase uptake. </t>
  </si>
  <si>
    <t>U-.22 or less</t>
  </si>
  <si>
    <t>TEMPLATE VERSION ---&gt;</t>
  </si>
  <si>
    <t>Recommended</t>
  </si>
  <si>
    <t>Original</t>
  </si>
  <si>
    <t>Recommended Efficiency Rating</t>
  </si>
  <si>
    <t>LoadMap Participation 2024</t>
  </si>
  <si>
    <t>LoadMap Therm Savings</t>
  </si>
  <si>
    <t>LoadMap Units</t>
  </si>
  <si>
    <t>Recommended Savings</t>
  </si>
  <si>
    <t>LoadMap Incremental Cost</t>
  </si>
  <si>
    <t>Recommended Costs</t>
  </si>
  <si>
    <t>LoadMap Measure Life</t>
  </si>
  <si>
    <t>Recommended Measure Life</t>
  </si>
  <si>
    <t>LoadMap Program Rebate</t>
  </si>
  <si>
    <t>Recommended Rebate</t>
  </si>
  <si>
    <t>Efficiency</t>
  </si>
  <si>
    <t>Description</t>
  </si>
  <si>
    <t>Recommended 2024 Participation</t>
  </si>
  <si>
    <t>LoadMap Participation 2025</t>
  </si>
  <si>
    <t>LoadMap % Change</t>
  </si>
  <si>
    <t>Recommended 2025 Participation</t>
  </si>
  <si>
    <t>Measure</t>
  </si>
  <si>
    <t>Total Portfolio</t>
  </si>
  <si>
    <t>Mapping Key</t>
  </si>
  <si>
    <t>Tariff Key</t>
  </si>
  <si>
    <t>-</t>
  </si>
  <si>
    <t>2023 YTD UNITS INSTALLED</t>
  </si>
  <si>
    <t>2023 YTD TOTAL MEASURE COUNT</t>
  </si>
  <si>
    <t>10%</t>
  </si>
  <si>
    <t>DCKVM</t>
  </si>
  <si>
    <t>Demand Controlled Kitchen Hood Make Up Air Handlers</t>
  </si>
  <si>
    <t>Efficient Hood</t>
  </si>
  <si>
    <t>/cfm</t>
  </si>
  <si>
    <t>2 Year Total ---&gt;</t>
  </si>
  <si>
    <t>Estimated Program Admin.</t>
  </si>
  <si>
    <t>Estimated Custom Admin.</t>
  </si>
  <si>
    <t>Estimated Prescriptive Admin.</t>
  </si>
  <si>
    <t>2022/2023 Rebate Amount</t>
  </si>
  <si>
    <t>2024/2025 Rebate Amount</t>
  </si>
  <si>
    <t>2022/2023 UCT</t>
  </si>
  <si>
    <t>2024/2025 UCT</t>
  </si>
  <si>
    <t>2022/2023 TRC</t>
  </si>
  <si>
    <t>2024/2025 TRC</t>
  </si>
  <si>
    <t>Bonus - Radiant Bundle D (radiant &amp; insulation)</t>
  </si>
  <si>
    <t>Radiant Bundle D</t>
  </si>
  <si>
    <t>Table 1: Measure Offerings with Positive Participation Forecasted</t>
  </si>
  <si>
    <t>Table 2: Measure Offerings with Zero Participation Forecasted</t>
  </si>
  <si>
    <t>*Note: UCT value represents ratio IF there was 1 unit of participation for the measure.</t>
  </si>
  <si>
    <t>Griddle (Grocery)</t>
  </si>
  <si>
    <t>COMFSOVENGROC2-19-19</t>
  </si>
  <si>
    <t>COMFSOVENREST2-19-19</t>
  </si>
  <si>
    <t>COMFSOVENSCHO2-19-19</t>
  </si>
  <si>
    <t>COMFSGRIDLODGE-4-1-22</t>
  </si>
  <si>
    <t>COMFSGRIDREST-4-1-22</t>
  </si>
  <si>
    <t>COMFSGRIDSCHO-4-1-22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</si>
</sst>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0.000%"/>
    <numFmt numFmtId="166" formatCode="#,##0.000"/>
    <numFmt numFmtId="167" formatCode="&quot;$&quot;#,##0.00"/>
    <numFmt numFmtId="168" formatCode="_(&quot;$&quot;* #,##0_);_(&quot;$&quot;* \(#,##0\);_(&quot;$&quot;* &quot;-&quot;??_);_(@_)"/>
    <numFmt numFmtId="169" formatCode="_(* #,##0_);_(* \(#,##0\);_(* &quot;-&quot;??_);_(@_)"/>
    <numFmt numFmtId="170" formatCode="0.0000"/>
    <numFmt numFmtId="171" formatCode="\$#,##0.00;\$\-#,##0.00"/>
    <numFmt numFmtId="172" formatCode="\$#,##0.00"/>
    <numFmt numFmtId="173" formatCode="\$#,##0.00;\$\(#,##0.00\)\ "/>
    <numFmt numFmtId="174" formatCode="#,##0.000;\(#,##0.000\)\ "/>
    <numFmt numFmtId="175" formatCode="\$#,##0.00;\$\(#,##0.00\)"/>
    <numFmt numFmtId="176" formatCode="0.000"/>
    <numFmt numFmtId="177" formatCode="#,##0.00%"/>
    <numFmt numFmtId="178" formatCode="\$#,##0.0000;\$\-#,##0.0000"/>
    <numFmt numFmtId="179" formatCode="\$#,##0"/>
    <numFmt numFmtId="180" formatCode="&quot;$&quot;#,##0"/>
    <numFmt numFmtId="181" formatCode="&quot;$&quot;#,##0.000"/>
  </numFmts>
  <fonts count="45">
    <font>
      <sz val="10"/>
      <name val="Times New Roman"/>
    </font>
    <font>
      <sz val="11"/>
      <color theme="1"/>
      <name val="Calibri"/>
      <family val="2"/>
      <scheme val="minor"/>
    </font>
    <font>
      <sz val="11"/>
      <color theme="1"/>
      <name val="Calibri"/>
      <family val="2"/>
      <scheme val="minor"/>
    </font>
    <font>
      <sz val="11"/>
      <color theme="1"/>
      <name val="Calibri"/>
      <family val="2"/>
      <scheme val="minor"/>
    </font>
    <font>
      <b/>
      <sz val="10"/>
      <name val="Times New Roman"/>
      <family val="1"/>
    </font>
    <font>
      <sz val="10"/>
      <name val="Times New Roman"/>
      <family val="1"/>
    </font>
    <font>
      <sz val="10"/>
      <name val="Arial"/>
      <family val="2"/>
    </font>
    <font>
      <sz val="8"/>
      <name val="Arial"/>
      <family val="2"/>
    </font>
    <font>
      <sz val="10"/>
      <color indexed="0"/>
      <name val="Arial"/>
      <family val="2"/>
    </font>
    <font>
      <sz val="10"/>
      <color theme="1"/>
      <name val="Times New Roman"/>
      <family val="1"/>
    </font>
    <font>
      <sz val="10"/>
      <name val="Times New Roman"/>
      <family val="1"/>
    </font>
    <font>
      <sz val="10"/>
      <color indexed="0"/>
      <name val="Arial"/>
      <family val="2"/>
    </font>
    <font>
      <sz val="10"/>
      <color indexed="0"/>
      <name val="Arial"/>
      <family val="2"/>
    </font>
    <font>
      <b/>
      <sz val="10"/>
      <color theme="0"/>
      <name val="Times New Roman"/>
      <family val="1"/>
    </font>
    <font>
      <sz val="11"/>
      <name val="Calibri"/>
      <family val="2"/>
    </font>
    <font>
      <sz val="11"/>
      <name val="Calibri"/>
      <family val="2"/>
    </font>
    <font>
      <sz val="11"/>
      <name val="Calibri"/>
      <family val="2"/>
    </font>
    <font>
      <sz val="11"/>
      <name val="Calibri"/>
      <family val="2"/>
    </font>
    <font>
      <b/>
      <sz val="10"/>
      <color rgb="FFFFFFFF"/>
      <name val="Arial"/>
      <family val="2"/>
    </font>
    <font>
      <sz val="10"/>
      <color rgb="FF000000"/>
      <name val="Arial"/>
      <family val="2"/>
    </font>
    <font>
      <b/>
      <sz val="15"/>
      <color rgb="FF3634E0"/>
      <name val="Arial"/>
      <family val="2"/>
    </font>
    <font>
      <b/>
      <sz val="21"/>
      <color rgb="FF058FFF"/>
      <name val="Arial"/>
      <family val="2"/>
    </font>
    <font>
      <b/>
      <sz val="17"/>
      <color rgb="FF058FFF"/>
      <name val="Arial"/>
      <family val="2"/>
    </font>
    <font>
      <b/>
      <sz val="11"/>
      <color rgb="FFFFFFFF"/>
      <name val="Arial"/>
      <family val="2"/>
    </font>
    <font>
      <b/>
      <sz val="11"/>
      <color rgb="FF3634E0"/>
      <name val="Arial"/>
      <family val="2"/>
    </font>
    <font>
      <b/>
      <sz val="11"/>
      <color rgb="FFA61712"/>
      <name val="Arial"/>
      <family val="2"/>
    </font>
    <font>
      <sz val="8"/>
      <color rgb="FF000000"/>
      <name val="Arial"/>
      <family val="2"/>
    </font>
    <font>
      <sz val="7.5"/>
      <color rgb="FF000000"/>
      <name val="Arial"/>
      <family val="2"/>
    </font>
    <font>
      <sz val="10"/>
      <color theme="1"/>
      <name val="Times New Roman"/>
      <family val="1"/>
    </font>
    <font>
      <sz val="8"/>
      <name val="Times New Roman"/>
      <family val="1"/>
    </font>
    <font>
      <b/>
      <sz val="10"/>
      <name val="SansSerif"/>
      <family val="2"/>
    </font>
    <font>
      <b/>
      <sz val="11"/>
      <color theme="1"/>
      <name val="Calibri"/>
      <family val="2"/>
      <scheme val="minor"/>
    </font>
    <font>
      <b/>
      <sz val="14"/>
      <color rgb="FFFFFFFF"/>
      <name val="Arial"/>
      <family val="2"/>
    </font>
    <font>
      <b/>
      <sz val="14"/>
      <color theme="0"/>
      <name val="Arial"/>
      <family val="2"/>
    </font>
    <font>
      <b/>
      <sz val="10"/>
      <color theme="0"/>
      <name val="Arial"/>
      <family val="2"/>
    </font>
    <font>
      <i/>
      <sz val="11"/>
      <color theme="2" tint="-0.249977111117893"/>
      <name val="Calibri"/>
      <family val="2"/>
      <scheme val="minor"/>
    </font>
    <font>
      <b/>
      <sz val="10"/>
      <name val="Arial"/>
      <family val="2"/>
    </font>
    <font>
      <i/>
      <sz val="10"/>
      <color theme="0" tint="-0.34998626667073579"/>
      <name val="Times New Roman"/>
      <family val="1"/>
    </font>
    <font>
      <b/>
      <sz val="11"/>
      <color theme="0"/>
      <name val="Calibri"/>
      <family val="2"/>
      <scheme val="minor"/>
    </font>
    <font>
      <sz val="11"/>
      <name val="Calibri"/>
      <family val="2"/>
      <scheme val="minor"/>
    </font>
    <font>
      <b/>
      <sz val="11"/>
      <name val="Calibri"/>
      <family val="2"/>
      <scheme val="minor"/>
    </font>
    <font>
      <sz val="14"/>
      <name val="Arial"/>
      <family val="2"/>
    </font>
    <font>
      <sz val="11"/>
      <name val="Arial"/>
      <family val="2"/>
    </font>
    <font>
      <b/>
      <sz val="11"/>
      <color rgb="FFFF0000"/>
      <name val="Calibri"/>
      <family val="2"/>
      <scheme val="minor"/>
    </font>
    <font>
      <b/>
      <i/>
      <sz val="10"/>
      <name val="Times New Roman"/>
      <family val="1"/>
    </font>
  </fonts>
  <fills count="15">
    <fill>
      <patternFill patternType="none"/>
    </fill>
    <fill>
      <patternFill patternType="gray125"/>
    </fill>
    <fill>
      <patternFill patternType="solid">
        <fgColor rgb="FF5AA6DB"/>
      </patternFill>
    </fill>
    <fill>
      <patternFill patternType="solid">
        <fgColor rgb="FFE8E6E6"/>
      </patternFill>
    </fill>
    <fill>
      <patternFill patternType="solid">
        <fgColor rgb="FFF89842"/>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D9D9"/>
        <bgColor indexed="64"/>
      </patternFill>
    </fill>
    <fill>
      <patternFill patternType="solid">
        <fgColor theme="0"/>
        <bgColor indexed="64"/>
      </patternFill>
    </fill>
    <fill>
      <patternFill patternType="solid">
        <fgColor theme="4"/>
        <bgColor indexed="64"/>
      </patternFill>
    </fill>
    <fill>
      <patternFill patternType="solid">
        <fgColor rgb="FFE8E6E6"/>
        <bgColor indexed="64"/>
      </patternFill>
    </fill>
    <fill>
      <patternFill patternType="solid">
        <fgColor theme="6" tint="0.39997558519241921"/>
        <bgColor indexed="64"/>
      </patternFill>
    </fill>
  </fills>
  <borders count="25">
    <border>
      <left/>
      <right/>
      <top/>
      <bottom/>
      <diagonal/>
    </border>
    <border>
      <left style="thick">
        <color rgb="FFD6D2D2"/>
      </left>
      <right style="medium">
        <color rgb="FFD6D2D2"/>
      </right>
      <top/>
      <bottom/>
      <diagonal/>
    </border>
    <border>
      <left style="medium">
        <color rgb="FFD6D2D2"/>
      </left>
      <right style="medium">
        <color rgb="FFD6D2D2"/>
      </right>
      <top style="medium">
        <color rgb="FFD6D2D2"/>
      </top>
      <bottom style="medium">
        <color rgb="FFD6D2D2"/>
      </bottom>
      <diagonal/>
    </border>
    <border>
      <left style="medium">
        <color rgb="FFD6D2D2"/>
      </left>
      <right style="medium">
        <color rgb="FFD6D2D2"/>
      </right>
      <top/>
      <bottom style="medium">
        <color rgb="FFD6D2D2"/>
      </bottom>
      <diagonal/>
    </border>
    <border>
      <left style="medium">
        <color rgb="FFD6D2D2"/>
      </left>
      <right style="medium">
        <color rgb="FFD6D2D2"/>
      </right>
      <top/>
      <bottom/>
      <diagonal/>
    </border>
    <border>
      <left/>
      <right style="medium">
        <color rgb="FFD6D2D2"/>
      </right>
      <top/>
      <bottom/>
      <diagonal/>
    </border>
    <border>
      <left style="thin">
        <color rgb="FF000000"/>
      </left>
      <right style="thin">
        <color rgb="FF000000"/>
      </right>
      <top style="thin">
        <color rgb="FF000000"/>
      </top>
      <bottom style="thin">
        <color rgb="FF000000"/>
      </bottom>
      <diagonal/>
    </border>
    <border>
      <left style="thick">
        <color theme="6" tint="0.39997558519241921"/>
      </left>
      <right/>
      <top style="thick">
        <color theme="6" tint="0.39997558519241921"/>
      </top>
      <bottom style="thick">
        <color theme="6" tint="0.39997558519241921"/>
      </bottom>
      <diagonal/>
    </border>
    <border>
      <left/>
      <right/>
      <top style="thick">
        <color theme="6" tint="0.39997558519241921"/>
      </top>
      <bottom style="thick">
        <color theme="6" tint="0.39997558519241921"/>
      </bottom>
      <diagonal/>
    </border>
    <border>
      <left/>
      <right style="thick">
        <color theme="6" tint="0.39997558519241921"/>
      </right>
      <top style="thick">
        <color theme="6" tint="0.39997558519241921"/>
      </top>
      <bottom style="thick">
        <color theme="6" tint="0.39997558519241921"/>
      </bottom>
      <diagonal/>
    </border>
    <border>
      <left style="thick">
        <color theme="6" tint="0.39997558519241921"/>
      </left>
      <right/>
      <top style="thick">
        <color theme="6" tint="0.39994506668294322"/>
      </top>
      <bottom style="thick">
        <color theme="6" tint="0.39994506668294322"/>
      </bottom>
      <diagonal/>
    </border>
    <border>
      <left/>
      <right/>
      <top style="thick">
        <color theme="6" tint="0.39994506668294322"/>
      </top>
      <bottom style="thick">
        <color theme="6" tint="0.39994506668294322"/>
      </bottom>
      <diagonal/>
    </border>
    <border>
      <left style="thick">
        <color theme="0" tint="-0.14999847407452621"/>
      </left>
      <right/>
      <top style="thick">
        <color theme="0" tint="-0.14999847407452621"/>
      </top>
      <bottom/>
      <diagonal/>
    </border>
    <border>
      <left/>
      <right style="thick">
        <color theme="0" tint="-0.14999847407452621"/>
      </right>
      <top style="thick">
        <color theme="0" tint="-0.14999847407452621"/>
      </top>
      <bottom/>
      <diagonal/>
    </border>
    <border>
      <left style="thick">
        <color rgb="FFD6D2D2"/>
      </left>
      <right style="thick">
        <color theme="6" tint="0.39997558519241921"/>
      </right>
      <top/>
      <bottom style="medium">
        <color rgb="FFD6D2D2"/>
      </bottom>
      <diagonal/>
    </border>
    <border>
      <left/>
      <right style="thick">
        <color theme="6" tint="0.39997558519241921"/>
      </right>
      <top/>
      <bottom style="medium">
        <color rgb="FFD6D2D2"/>
      </bottom>
      <diagonal/>
    </border>
    <border>
      <left style="thick">
        <color theme="6" tint="0.39997558519241921"/>
      </left>
      <right style="thick">
        <color theme="6" tint="0.39997558519241921"/>
      </right>
      <top/>
      <bottom style="medium">
        <color rgb="FFD6D2D2"/>
      </bottom>
      <diagonal/>
    </border>
    <border>
      <left style="thick">
        <color theme="6" tint="0.39997558519241921"/>
      </left>
      <right/>
      <top/>
      <bottom/>
      <diagonal/>
    </border>
    <border>
      <left style="thick">
        <color theme="6" tint="0.39997558519241921"/>
      </left>
      <right style="thick">
        <color theme="6" tint="0.39997558519241921"/>
      </right>
      <top style="thick">
        <color theme="6" tint="0.39994506668294322"/>
      </top>
      <bottom style="medium">
        <color rgb="FFD6D2D2"/>
      </bottom>
      <diagonal/>
    </border>
    <border>
      <left style="medium">
        <color rgb="FFD6D2D2"/>
      </left>
      <right/>
      <top/>
      <bottom style="medium">
        <color rgb="FFD6D2D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rgb="FFD6D2D2"/>
      </left>
      <right style="medium">
        <color rgb="FFD6D2D2"/>
      </right>
      <top style="medium">
        <color rgb="FFD6D2D2"/>
      </top>
      <bottom style="medium">
        <color theme="0" tint="-0.14999847407452621"/>
      </bottom>
      <diagonal/>
    </border>
  </borders>
  <cellStyleXfs count="23">
    <xf numFmtId="0" fontId="0" fillId="0" borderId="0"/>
    <xf numFmtId="43" fontId="5" fillId="0" borderId="0" applyFont="0" applyFill="0" applyBorder="0" applyAlignment="0" applyProtection="0"/>
    <xf numFmtId="44" fontId="5" fillId="0" borderId="0" applyFont="0" applyFill="0" applyBorder="0" applyAlignment="0" applyProtection="0"/>
    <xf numFmtId="0" fontId="6" fillId="0" borderId="0"/>
    <xf numFmtId="9" fontId="5"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1" fillId="0" borderId="0"/>
    <xf numFmtId="0" fontId="12" fillId="0" borderId="0"/>
    <xf numFmtId="0" fontId="14" fillId="0" borderId="0"/>
    <xf numFmtId="0" fontId="15" fillId="0" borderId="0"/>
    <xf numFmtId="0" fontId="16" fillId="0" borderId="0"/>
    <xf numFmtId="0" fontId="17" fillId="0" borderId="0"/>
    <xf numFmtId="0" fontId="1" fillId="0" borderId="0"/>
    <xf numFmtId="43" fontId="1" fillId="0" borderId="0" applyFont="0" applyFill="0" applyBorder="0" applyAlignment="0" applyProtection="0"/>
  </cellStyleXfs>
  <cellXfs count="219">
    <xf numFmtId="0" fontId="0" fillId="0" borderId="0" xfId="0"/>
    <xf numFmtId="0" fontId="5" fillId="0" borderId="0" xfId="0" applyFont="1"/>
    <xf numFmtId="0" fontId="5" fillId="0" borderId="0" xfId="0" applyFont="1" applyAlignment="1">
      <alignment horizontal="center"/>
    </xf>
    <xf numFmtId="0" fontId="4" fillId="0" borderId="0" xfId="3" applyFont="1" applyAlignment="1">
      <alignment horizontal="center"/>
    </xf>
    <xf numFmtId="0" fontId="5" fillId="0" borderId="0" xfId="3" applyFont="1"/>
    <xf numFmtId="0" fontId="5" fillId="0" borderId="0" xfId="3" applyFont="1" applyAlignment="1">
      <alignment horizontal="center"/>
    </xf>
    <xf numFmtId="44" fontId="5" fillId="0" borderId="0" xfId="4" applyNumberFormat="1" applyFont="1" applyFill="1"/>
    <xf numFmtId="0" fontId="4" fillId="0" borderId="0" xfId="3" applyFont="1"/>
    <xf numFmtId="165" fontId="5" fillId="0" borderId="0" xfId="4" applyNumberFormat="1" applyFont="1" applyFill="1"/>
    <xf numFmtId="165" fontId="5" fillId="0" borderId="0" xfId="4" applyNumberFormat="1" applyFont="1"/>
    <xf numFmtId="165" fontId="5" fillId="0" borderId="0" xfId="3" applyNumberFormat="1" applyFont="1"/>
    <xf numFmtId="10" fontId="5" fillId="0" borderId="0" xfId="3" applyNumberFormat="1" applyFont="1"/>
    <xf numFmtId="10" fontId="5" fillId="0" borderId="0" xfId="4" applyNumberFormat="1" applyFont="1"/>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2" fontId="5" fillId="0" borderId="0" xfId="0" applyNumberFormat="1" applyFont="1" applyAlignment="1">
      <alignment horizontal="center"/>
    </xf>
    <xf numFmtId="4" fontId="4" fillId="0" borderId="0" xfId="0" applyNumberFormat="1" applyFont="1"/>
    <xf numFmtId="4" fontId="4" fillId="0" borderId="0" xfId="0" applyNumberFormat="1" applyFont="1" applyAlignment="1">
      <alignment horizontal="center"/>
    </xf>
    <xf numFmtId="42" fontId="5" fillId="0" borderId="0" xfId="2" applyNumberFormat="1" applyFont="1" applyFill="1" applyBorder="1"/>
    <xf numFmtId="42" fontId="5" fillId="0" borderId="0" xfId="0" applyNumberFormat="1" applyFont="1" applyAlignment="1">
      <alignment horizontal="center"/>
    </xf>
    <xf numFmtId="166" fontId="5" fillId="0" borderId="0" xfId="0" applyNumberFormat="1" applyFont="1" applyAlignment="1">
      <alignment horizontal="center"/>
    </xf>
    <xf numFmtId="3" fontId="5" fillId="0" borderId="0" xfId="1" applyNumberFormat="1" applyFont="1" applyFill="1" applyBorder="1" applyAlignment="1">
      <alignment horizontal="center"/>
    </xf>
    <xf numFmtId="10" fontId="5" fillId="0" borderId="0" xfId="0" applyNumberFormat="1" applyFont="1" applyAlignment="1">
      <alignment horizontal="left"/>
    </xf>
    <xf numFmtId="10" fontId="5" fillId="0" borderId="0" xfId="0" applyNumberFormat="1" applyFont="1" applyAlignment="1">
      <alignment horizontal="center"/>
    </xf>
    <xf numFmtId="10" fontId="4" fillId="0" borderId="0" xfId="0" applyNumberFormat="1" applyFont="1" applyAlignment="1">
      <alignment horizontal="center"/>
    </xf>
    <xf numFmtId="168" fontId="4" fillId="0" borderId="0" xfId="2" applyNumberFormat="1" applyFont="1" applyFill="1" applyBorder="1" applyAlignment="1">
      <alignment horizontal="center"/>
    </xf>
    <xf numFmtId="169" fontId="4" fillId="0" borderId="0" xfId="1" applyNumberFormat="1" applyFont="1" applyFill="1" applyBorder="1" applyAlignment="1">
      <alignment horizontal="center"/>
    </xf>
    <xf numFmtId="164" fontId="4" fillId="0" borderId="0" xfId="2" applyNumberFormat="1" applyFont="1" applyFill="1" applyBorder="1" applyAlignment="1">
      <alignment horizontal="center"/>
    </xf>
    <xf numFmtId="164" fontId="4" fillId="0" borderId="0" xfId="2" applyNumberFormat="1" applyFont="1" applyFill="1" applyBorder="1"/>
    <xf numFmtId="166" fontId="4" fillId="0" borderId="0" xfId="0" applyNumberFormat="1" applyFont="1" applyAlignment="1">
      <alignment horizontal="center"/>
    </xf>
    <xf numFmtId="2" fontId="5" fillId="0" borderId="0" xfId="1" applyNumberFormat="1" applyFont="1" applyFill="1" applyAlignment="1" applyProtection="1">
      <alignment horizontal="center"/>
    </xf>
    <xf numFmtId="3" fontId="9" fillId="0" borderId="0" xfId="1" applyNumberFormat="1" applyFont="1" applyFill="1" applyBorder="1" applyAlignment="1">
      <alignment horizontal="center"/>
    </xf>
    <xf numFmtId="3" fontId="4" fillId="0" borderId="0" xfId="0" applyNumberFormat="1" applyFont="1" applyAlignment="1">
      <alignment horizontal="left"/>
    </xf>
    <xf numFmtId="4" fontId="4" fillId="0" borderId="0" xfId="0" applyNumberFormat="1" applyFont="1" applyAlignment="1">
      <alignment horizontal="left"/>
    </xf>
    <xf numFmtId="167" fontId="5" fillId="0" borderId="0" xfId="0" applyNumberFormat="1" applyFont="1" applyAlignment="1">
      <alignment horizontal="center"/>
    </xf>
    <xf numFmtId="7" fontId="5" fillId="0" borderId="0" xfId="0" applyNumberFormat="1" applyFont="1" applyAlignment="1">
      <alignment horizontal="center"/>
    </xf>
    <xf numFmtId="4" fontId="13" fillId="0" borderId="0" xfId="0" applyNumberFormat="1" applyFont="1" applyAlignment="1">
      <alignment horizontal="left"/>
    </xf>
    <xf numFmtId="4" fontId="5" fillId="0" borderId="0" xfId="0" applyNumberFormat="1" applyFont="1" applyAlignment="1">
      <alignment horizontal="left"/>
    </xf>
    <xf numFmtId="3" fontId="5" fillId="0" borderId="0" xfId="0" applyNumberFormat="1" applyFont="1" applyAlignment="1">
      <alignment horizontal="center"/>
    </xf>
    <xf numFmtId="3" fontId="4" fillId="0" borderId="0" xfId="0" applyNumberFormat="1" applyFont="1" applyAlignment="1">
      <alignment horizontal="center"/>
    </xf>
    <xf numFmtId="7" fontId="5" fillId="0" borderId="0" xfId="0" applyNumberFormat="1" applyFont="1"/>
    <xf numFmtId="4" fontId="4" fillId="0" borderId="0" xfId="0" applyNumberFormat="1" applyFont="1" applyAlignment="1">
      <alignment horizontal="right" vertical="center"/>
    </xf>
    <xf numFmtId="4" fontId="4" fillId="0" borderId="0" xfId="1" applyNumberFormat="1" applyFont="1" applyFill="1" applyBorder="1" applyAlignment="1">
      <alignment horizontal="right"/>
    </xf>
    <xf numFmtId="0" fontId="18" fillId="2" borderId="1" xfId="0" applyFont="1" applyFill="1" applyBorder="1" applyAlignment="1">
      <alignment horizontal="center" vertical="center" wrapText="1"/>
    </xf>
    <xf numFmtId="0" fontId="19" fillId="0" borderId="2" xfId="0" applyFont="1" applyBorder="1" applyAlignment="1">
      <alignment horizontal="center" vertical="center" wrapText="1"/>
    </xf>
    <xf numFmtId="3" fontId="19" fillId="0" borderId="2" xfId="0" applyNumberFormat="1" applyFont="1" applyBorder="1" applyAlignment="1">
      <alignment horizontal="center" vertical="center" wrapText="1"/>
    </xf>
    <xf numFmtId="4" fontId="19" fillId="0" borderId="2" xfId="0" applyNumberFormat="1" applyFont="1" applyBorder="1" applyAlignment="1">
      <alignment horizontal="center" vertical="center" wrapText="1"/>
    </xf>
    <xf numFmtId="172" fontId="19" fillId="0" borderId="2" xfId="0" applyNumberFormat="1" applyFont="1" applyBorder="1" applyAlignment="1">
      <alignment horizontal="center" vertical="center" wrapText="1"/>
    </xf>
    <xf numFmtId="173" fontId="19" fillId="0" borderId="2"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3" fontId="19" fillId="3" borderId="2" xfId="0" applyNumberFormat="1" applyFont="1" applyFill="1" applyBorder="1" applyAlignment="1">
      <alignment horizontal="center" vertical="center" wrapText="1"/>
    </xf>
    <xf numFmtId="4" fontId="19" fillId="3" borderId="2" xfId="0" applyNumberFormat="1" applyFont="1" applyFill="1" applyBorder="1" applyAlignment="1">
      <alignment horizontal="center" vertical="center" wrapText="1"/>
    </xf>
    <xf numFmtId="172" fontId="19" fillId="3" borderId="2" xfId="0" applyNumberFormat="1" applyFont="1" applyFill="1" applyBorder="1" applyAlignment="1">
      <alignment horizontal="center" vertical="center" wrapText="1"/>
    </xf>
    <xf numFmtId="0" fontId="20" fillId="0" borderId="2" xfId="0" applyFont="1" applyBorder="1" applyAlignment="1">
      <alignment horizontal="left" vertical="center" wrapText="1"/>
    </xf>
    <xf numFmtId="0" fontId="18"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4" fontId="23" fillId="4" borderId="4"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175" fontId="23" fillId="4" borderId="4" xfId="0" applyNumberFormat="1" applyFont="1" applyFill="1" applyBorder="1" applyAlignment="1">
      <alignment horizontal="center" vertical="center" wrapText="1"/>
    </xf>
    <xf numFmtId="174" fontId="23" fillId="4" borderId="4" xfId="0" applyNumberFormat="1" applyFont="1" applyFill="1" applyBorder="1" applyAlignment="1">
      <alignment horizontal="center" vertical="center" wrapText="1"/>
    </xf>
    <xf numFmtId="167" fontId="23" fillId="4" borderId="4" xfId="0" applyNumberFormat="1" applyFont="1" applyFill="1" applyBorder="1" applyAlignment="1">
      <alignment horizontal="center" vertical="center" wrapText="1"/>
    </xf>
    <xf numFmtId="167" fontId="19" fillId="0" borderId="2" xfId="0" applyNumberFormat="1" applyFont="1" applyBorder="1" applyAlignment="1">
      <alignment horizontal="center" vertical="center" wrapText="1"/>
    </xf>
    <xf numFmtId="167" fontId="19" fillId="3" borderId="2" xfId="0" applyNumberFormat="1" applyFont="1" applyFill="1" applyBorder="1" applyAlignment="1">
      <alignment horizontal="center" vertical="center" wrapText="1"/>
    </xf>
    <xf numFmtId="167" fontId="18" fillId="2" borderId="1" xfId="0" applyNumberFormat="1" applyFont="1" applyFill="1" applyBorder="1" applyAlignment="1">
      <alignment horizontal="center" vertical="center" wrapText="1"/>
    </xf>
    <xf numFmtId="43" fontId="19" fillId="0" borderId="2" xfId="1" applyFont="1" applyBorder="1" applyAlignment="1">
      <alignment horizontal="center" vertical="center" wrapText="1"/>
    </xf>
    <xf numFmtId="43" fontId="19" fillId="3" borderId="2" xfId="1" applyFont="1" applyFill="1" applyBorder="1" applyAlignment="1">
      <alignment horizontal="center" vertical="center" wrapText="1"/>
    </xf>
    <xf numFmtId="43" fontId="18" fillId="2" borderId="1" xfId="1" applyFont="1" applyFill="1" applyBorder="1" applyAlignment="1">
      <alignment horizontal="center" vertical="center" wrapText="1"/>
    </xf>
    <xf numFmtId="43" fontId="23" fillId="4" borderId="4" xfId="1" applyFont="1" applyFill="1" applyBorder="1" applyAlignment="1">
      <alignment horizontal="center" vertical="center" wrapText="1"/>
    </xf>
    <xf numFmtId="176" fontId="19" fillId="0" borderId="2" xfId="0" applyNumberFormat="1" applyFont="1" applyBorder="1" applyAlignment="1">
      <alignment horizontal="center" vertical="center" wrapText="1"/>
    </xf>
    <xf numFmtId="176" fontId="19" fillId="3" borderId="2" xfId="0" applyNumberFormat="1" applyFont="1" applyFill="1" applyBorder="1" applyAlignment="1">
      <alignment horizontal="center" vertical="center" wrapText="1"/>
    </xf>
    <xf numFmtId="176" fontId="18" fillId="2" borderId="1" xfId="0" applyNumberFormat="1" applyFont="1" applyFill="1" applyBorder="1" applyAlignment="1">
      <alignment horizontal="center" vertical="center" wrapText="1"/>
    </xf>
    <xf numFmtId="177" fontId="25" fillId="0" borderId="2" xfId="0" applyNumberFormat="1" applyFont="1" applyBorder="1" applyAlignment="1">
      <alignment horizontal="left" vertical="center" wrapText="1"/>
    </xf>
    <xf numFmtId="171" fontId="25" fillId="0" borderId="2" xfId="0" applyNumberFormat="1" applyFont="1" applyBorder="1" applyAlignment="1">
      <alignment horizontal="left" vertical="center" wrapText="1"/>
    </xf>
    <xf numFmtId="0" fontId="26" fillId="0" borderId="6" xfId="0" applyFont="1" applyBorder="1" applyAlignment="1">
      <alignment horizontal="center" vertical="center" wrapText="1"/>
    </xf>
    <xf numFmtId="171" fontId="26" fillId="0" borderId="6" xfId="0" applyNumberFormat="1" applyFont="1" applyBorder="1" applyAlignment="1">
      <alignment horizontal="center" vertical="center" wrapText="1"/>
    </xf>
    <xf numFmtId="178" fontId="26" fillId="0" borderId="6" xfId="0" applyNumberFormat="1" applyFont="1" applyBorder="1" applyAlignment="1">
      <alignment horizontal="center" vertical="center" wrapText="1"/>
    </xf>
    <xf numFmtId="167" fontId="25" fillId="0" borderId="2" xfId="4" applyNumberFormat="1" applyFont="1" applyBorder="1" applyAlignment="1">
      <alignment horizontal="left" vertical="center" wrapText="1"/>
    </xf>
    <xf numFmtId="0" fontId="27" fillId="0" borderId="6" xfId="0" applyFont="1" applyBorder="1" applyAlignment="1">
      <alignment horizontal="center" vertical="center" wrapText="1"/>
    </xf>
    <xf numFmtId="0" fontId="17" fillId="0" borderId="0" xfId="20"/>
    <xf numFmtId="0" fontId="28" fillId="0" borderId="0" xfId="0" applyFont="1"/>
    <xf numFmtId="49" fontId="17" fillId="0" borderId="0" xfId="20" applyNumberFormat="1"/>
    <xf numFmtId="1" fontId="17" fillId="0" borderId="0" xfId="20" applyNumberFormat="1"/>
    <xf numFmtId="14" fontId="17" fillId="0" borderId="0" xfId="20" applyNumberFormat="1"/>
    <xf numFmtId="170" fontId="17" fillId="0" borderId="0" xfId="20" applyNumberFormat="1"/>
    <xf numFmtId="2" fontId="17" fillId="0" borderId="0" xfId="20" applyNumberFormat="1"/>
    <xf numFmtId="0" fontId="30" fillId="0" borderId="0" xfId="0" applyFont="1" applyAlignment="1">
      <alignment horizontal="center" vertical="center" wrapText="1"/>
    </xf>
    <xf numFmtId="0" fontId="14" fillId="0" borderId="0" xfId="20" applyFont="1"/>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1" fillId="0" borderId="0" xfId="21"/>
    <xf numFmtId="0" fontId="33" fillId="7" borderId="8" xfId="21" applyFont="1" applyFill="1" applyBorder="1" applyAlignment="1">
      <alignment horizontal="center"/>
    </xf>
    <xf numFmtId="0" fontId="18" fillId="2" borderId="14" xfId="21" applyFont="1" applyFill="1" applyBorder="1" applyAlignment="1">
      <alignment horizontal="left" vertical="center" wrapText="1"/>
    </xf>
    <xf numFmtId="0" fontId="18" fillId="2" borderId="14" xfId="21" applyFont="1" applyFill="1" applyBorder="1" applyAlignment="1">
      <alignment horizontal="center" vertical="center" wrapText="1"/>
    </xf>
    <xf numFmtId="0" fontId="18" fillId="2" borderId="15" xfId="21" applyFont="1" applyFill="1" applyBorder="1" applyAlignment="1">
      <alignment horizontal="center" vertical="center" wrapText="1"/>
    </xf>
    <xf numFmtId="0" fontId="18" fillId="6" borderId="16" xfId="21" applyFont="1" applyFill="1" applyBorder="1" applyAlignment="1">
      <alignment horizontal="center" vertical="center" wrapText="1"/>
    </xf>
    <xf numFmtId="0" fontId="18" fillId="7" borderId="16" xfId="21" applyFont="1" applyFill="1" applyBorder="1" applyAlignment="1">
      <alignment horizontal="center" vertical="center" wrapText="1"/>
    </xf>
    <xf numFmtId="0" fontId="18" fillId="2" borderId="16" xfId="21" applyFont="1" applyFill="1" applyBorder="1" applyAlignment="1">
      <alignment horizontal="center" vertical="center" wrapText="1"/>
    </xf>
    <xf numFmtId="0" fontId="18" fillId="6" borderId="17" xfId="21" applyFont="1" applyFill="1" applyBorder="1" applyAlignment="1">
      <alignment horizontal="center" vertical="center" wrapText="1"/>
    </xf>
    <xf numFmtId="0" fontId="18" fillId="6" borderId="18" xfId="21" applyFont="1" applyFill="1" applyBorder="1" applyAlignment="1">
      <alignment horizontal="center" vertical="center" wrapText="1"/>
    </xf>
    <xf numFmtId="0" fontId="31" fillId="0" borderId="0" xfId="21" applyFont="1"/>
    <xf numFmtId="0" fontId="35" fillId="0" borderId="0" xfId="21" applyFont="1"/>
    <xf numFmtId="0" fontId="19" fillId="8" borderId="2" xfId="21" applyFont="1" applyFill="1" applyBorder="1" applyAlignment="1">
      <alignment horizontal="center" vertical="center"/>
    </xf>
    <xf numFmtId="0" fontId="19" fillId="8" borderId="2" xfId="21" applyFont="1" applyFill="1" applyBorder="1" applyAlignment="1">
      <alignment horizontal="left" vertical="center"/>
    </xf>
    <xf numFmtId="0" fontId="19" fillId="9" borderId="2" xfId="21" applyFont="1" applyFill="1" applyBorder="1" applyAlignment="1">
      <alignment horizontal="left" vertical="center"/>
    </xf>
    <xf numFmtId="0" fontId="19" fillId="10" borderId="2" xfId="21" quotePrefix="1" applyFont="1" applyFill="1" applyBorder="1" applyAlignment="1">
      <alignment horizontal="left" vertical="center"/>
    </xf>
    <xf numFmtId="2" fontId="19" fillId="8" borderId="2" xfId="21" applyNumberFormat="1" applyFont="1" applyFill="1" applyBorder="1" applyAlignment="1">
      <alignment horizontal="center" vertical="center"/>
    </xf>
    <xf numFmtId="167" fontId="19" fillId="8" borderId="2" xfId="21" applyNumberFormat="1" applyFont="1" applyFill="1" applyBorder="1" applyAlignment="1">
      <alignment horizontal="center" vertical="center"/>
    </xf>
    <xf numFmtId="4" fontId="19" fillId="9" borderId="2" xfId="22" applyNumberFormat="1" applyFont="1" applyFill="1" applyBorder="1" applyAlignment="1">
      <alignment horizontal="center" vertical="center"/>
    </xf>
    <xf numFmtId="4" fontId="19" fillId="5" borderId="2" xfId="22" applyNumberFormat="1" applyFont="1" applyFill="1" applyBorder="1" applyAlignment="1">
      <alignment horizontal="center" vertical="center"/>
    </xf>
    <xf numFmtId="167" fontId="19" fillId="5" borderId="2" xfId="21" applyNumberFormat="1" applyFont="1" applyFill="1" applyBorder="1" applyAlignment="1">
      <alignment horizontal="center" vertical="center"/>
    </xf>
    <xf numFmtId="167" fontId="19" fillId="9" borderId="2" xfId="22" applyNumberFormat="1" applyFont="1" applyFill="1" applyBorder="1" applyAlignment="1">
      <alignment horizontal="center" vertical="center"/>
    </xf>
    <xf numFmtId="3" fontId="19" fillId="9" borderId="2" xfId="22" applyNumberFormat="1" applyFont="1" applyFill="1" applyBorder="1" applyAlignment="1">
      <alignment horizontal="center" vertical="center"/>
    </xf>
    <xf numFmtId="167" fontId="19" fillId="5" borderId="2" xfId="22" applyNumberFormat="1" applyFont="1" applyFill="1" applyBorder="1" applyAlignment="1">
      <alignment horizontal="center" vertical="center"/>
    </xf>
    <xf numFmtId="3" fontId="19" fillId="5" borderId="2" xfId="21" applyNumberFormat="1" applyFont="1" applyFill="1" applyBorder="1" applyAlignment="1">
      <alignment horizontal="center" vertical="center"/>
    </xf>
    <xf numFmtId="4" fontId="19" fillId="5" borderId="2" xfId="21" applyNumberFormat="1" applyFont="1" applyFill="1" applyBorder="1" applyAlignment="1">
      <alignment horizontal="center" vertical="center"/>
    </xf>
    <xf numFmtId="0" fontId="1" fillId="0" borderId="0" xfId="21" applyAlignment="1">
      <alignment vertical="center"/>
    </xf>
    <xf numFmtId="0" fontId="19" fillId="11" borderId="2" xfId="21" applyFont="1" applyFill="1" applyBorder="1" applyAlignment="1">
      <alignment horizontal="center" vertical="center"/>
    </xf>
    <xf numFmtId="0" fontId="19" fillId="11" borderId="2" xfId="21" applyFont="1" applyFill="1" applyBorder="1" applyAlignment="1">
      <alignment horizontal="left" vertical="center"/>
    </xf>
    <xf numFmtId="2" fontId="19" fillId="0" borderId="2" xfId="21" applyNumberFormat="1" applyFont="1" applyBorder="1" applyAlignment="1">
      <alignment horizontal="center" vertical="center"/>
    </xf>
    <xf numFmtId="167" fontId="19" fillId="0" borderId="2" xfId="21" applyNumberFormat="1" applyFont="1" applyBorder="1" applyAlignment="1">
      <alignment horizontal="center" vertical="center"/>
    </xf>
    <xf numFmtId="4" fontId="19" fillId="0" borderId="2" xfId="22" applyNumberFormat="1" applyFont="1" applyFill="1" applyBorder="1" applyAlignment="1">
      <alignment horizontal="center" vertical="center"/>
    </xf>
    <xf numFmtId="167" fontId="19" fillId="0" borderId="2" xfId="22" applyNumberFormat="1" applyFont="1" applyFill="1" applyBorder="1" applyAlignment="1">
      <alignment horizontal="center" vertical="center"/>
    </xf>
    <xf numFmtId="3" fontId="19" fillId="0" borderId="2" xfId="22" applyNumberFormat="1" applyFont="1" applyFill="1" applyBorder="1" applyAlignment="1">
      <alignment horizontal="center" vertical="center"/>
    </xf>
    <xf numFmtId="0" fontId="19" fillId="10" borderId="2" xfId="21" applyFont="1" applyFill="1" applyBorder="1" applyAlignment="1">
      <alignment horizontal="left" vertical="center"/>
    </xf>
    <xf numFmtId="167" fontId="19" fillId="9" borderId="2" xfId="21" applyNumberFormat="1" applyFont="1" applyFill="1" applyBorder="1" applyAlignment="1">
      <alignment horizontal="center" vertical="center"/>
    </xf>
    <xf numFmtId="3" fontId="19" fillId="9" borderId="2" xfId="21" applyNumberFormat="1" applyFont="1" applyFill="1" applyBorder="1" applyAlignment="1">
      <alignment horizontal="center" vertical="center"/>
    </xf>
    <xf numFmtId="4" fontId="19" fillId="9" borderId="2" xfId="21" applyNumberFormat="1" applyFont="1" applyFill="1" applyBorder="1" applyAlignment="1">
      <alignment horizontal="center" vertical="center"/>
    </xf>
    <xf numFmtId="3" fontId="19" fillId="11" borderId="2" xfId="21" applyNumberFormat="1" applyFont="1" applyFill="1" applyBorder="1" applyAlignment="1">
      <alignment horizontal="center" vertical="center"/>
    </xf>
    <xf numFmtId="4" fontId="19" fillId="11" borderId="2" xfId="21" applyNumberFormat="1" applyFont="1" applyFill="1" applyBorder="1" applyAlignment="1">
      <alignment horizontal="center" vertical="center"/>
    </xf>
    <xf numFmtId="3" fontId="19" fillId="0" borderId="2" xfId="21" applyNumberFormat="1" applyFont="1" applyBorder="1" applyAlignment="1">
      <alignment horizontal="center" vertical="center"/>
    </xf>
    <xf numFmtId="4" fontId="19" fillId="0" borderId="2" xfId="21" applyNumberFormat="1" applyFont="1" applyBorder="1" applyAlignment="1">
      <alignment horizontal="center" vertical="center"/>
    </xf>
    <xf numFmtId="0" fontId="19" fillId="11" borderId="2" xfId="21" quotePrefix="1" applyFont="1" applyFill="1" applyBorder="1" applyAlignment="1">
      <alignment horizontal="left" vertical="center"/>
    </xf>
    <xf numFmtId="3" fontId="19" fillId="5" borderId="2" xfId="22" applyNumberFormat="1" applyFont="1" applyFill="1" applyBorder="1" applyAlignment="1">
      <alignment horizontal="center" vertical="center"/>
    </xf>
    <xf numFmtId="0" fontId="19" fillId="0" borderId="2" xfId="0" applyFont="1" applyBorder="1" applyAlignment="1">
      <alignment horizontal="left" vertical="center"/>
    </xf>
    <xf numFmtId="3" fontId="19" fillId="0" borderId="2" xfId="0" applyNumberFormat="1" applyFont="1" applyBorder="1" applyAlignment="1">
      <alignment horizontal="left" vertical="center"/>
    </xf>
    <xf numFmtId="0" fontId="19" fillId="3" borderId="2" xfId="0" applyFont="1" applyFill="1" applyBorder="1" applyAlignment="1">
      <alignment horizontal="left" vertical="center"/>
    </xf>
    <xf numFmtId="3" fontId="19" fillId="3" borderId="2" xfId="0" applyNumberFormat="1" applyFont="1" applyFill="1" applyBorder="1" applyAlignment="1">
      <alignment horizontal="left" vertical="center"/>
    </xf>
    <xf numFmtId="0" fontId="18" fillId="2" borderId="1" xfId="0" applyFont="1" applyFill="1" applyBorder="1" applyAlignment="1">
      <alignment horizontal="left" vertical="center"/>
    </xf>
    <xf numFmtId="0" fontId="24" fillId="0" borderId="2" xfId="0" applyFont="1" applyBorder="1" applyAlignment="1">
      <alignment horizontal="left" vertical="center"/>
    </xf>
    <xf numFmtId="4" fontId="18" fillId="4" borderId="4" xfId="0" applyNumberFormat="1" applyFont="1" applyFill="1" applyBorder="1" applyAlignment="1">
      <alignment horizontal="center" vertical="center" wrapText="1"/>
    </xf>
    <xf numFmtId="0" fontId="37" fillId="0" borderId="0" xfId="0" applyFont="1"/>
    <xf numFmtId="167" fontId="19" fillId="0" borderId="2" xfId="1" applyNumberFormat="1" applyFont="1" applyBorder="1" applyAlignment="1">
      <alignment horizontal="center" vertical="center" wrapText="1"/>
    </xf>
    <xf numFmtId="179" fontId="19" fillId="0" borderId="2" xfId="0" applyNumberFormat="1" applyFont="1" applyBorder="1" applyAlignment="1">
      <alignment horizontal="center" vertical="center" wrapText="1"/>
    </xf>
    <xf numFmtId="179" fontId="19" fillId="3" borderId="2" xfId="0" applyNumberFormat="1" applyFont="1" applyFill="1" applyBorder="1" applyAlignment="1">
      <alignment horizontal="center" vertical="center" wrapText="1"/>
    </xf>
    <xf numFmtId="169" fontId="19" fillId="0" borderId="2" xfId="1" applyNumberFormat="1" applyFont="1" applyBorder="1" applyAlignment="1">
      <alignment horizontal="center" vertical="center" wrapText="1"/>
    </xf>
    <xf numFmtId="169" fontId="19" fillId="3" borderId="2" xfId="1" applyNumberFormat="1" applyFont="1" applyFill="1" applyBorder="1" applyAlignment="1">
      <alignment horizontal="center" vertical="center" wrapText="1"/>
    </xf>
    <xf numFmtId="169" fontId="18" fillId="4" borderId="3" xfId="1" applyNumberFormat="1" applyFont="1" applyFill="1" applyBorder="1" applyAlignment="1">
      <alignment horizontal="center" vertical="center" wrapText="1"/>
    </xf>
    <xf numFmtId="180" fontId="19" fillId="0" borderId="2" xfId="0" applyNumberFormat="1" applyFont="1" applyBorder="1" applyAlignment="1">
      <alignment horizontal="center" vertical="center" wrapText="1"/>
    </xf>
    <xf numFmtId="180" fontId="19" fillId="3" borderId="2" xfId="0" applyNumberFormat="1" applyFont="1" applyFill="1" applyBorder="1" applyAlignment="1">
      <alignment horizontal="center" vertical="center" wrapText="1"/>
    </xf>
    <xf numFmtId="180" fontId="18" fillId="4" borderId="3" xfId="0" applyNumberFormat="1" applyFont="1" applyFill="1" applyBorder="1" applyAlignment="1">
      <alignment horizontal="center" vertical="center" wrapText="1"/>
    </xf>
    <xf numFmtId="179" fontId="18" fillId="2" borderId="1" xfId="0" applyNumberFormat="1" applyFont="1" applyFill="1" applyBorder="1" applyAlignment="1">
      <alignment horizontal="center" vertical="center" wrapText="1"/>
    </xf>
    <xf numFmtId="179" fontId="23" fillId="4" borderId="4" xfId="0" applyNumberFormat="1" applyFont="1" applyFill="1" applyBorder="1" applyAlignment="1">
      <alignment horizontal="center" vertical="center" wrapText="1"/>
    </xf>
    <xf numFmtId="181" fontId="19" fillId="0" borderId="2" xfId="1" applyNumberFormat="1" applyFont="1" applyBorder="1" applyAlignment="1">
      <alignment horizontal="center" vertical="center" wrapText="1"/>
    </xf>
    <xf numFmtId="181" fontId="19" fillId="0" borderId="2" xfId="0" applyNumberFormat="1" applyFont="1" applyBorder="1" applyAlignment="1">
      <alignment horizontal="center" vertical="center" wrapText="1"/>
    </xf>
    <xf numFmtId="181" fontId="19" fillId="3" borderId="2" xfId="1" applyNumberFormat="1" applyFont="1" applyFill="1" applyBorder="1" applyAlignment="1">
      <alignment horizontal="center" vertical="center" wrapText="1"/>
    </xf>
    <xf numFmtId="181" fontId="19" fillId="3" borderId="2" xfId="0" applyNumberFormat="1" applyFont="1" applyFill="1" applyBorder="1" applyAlignment="1">
      <alignment horizontal="center" vertical="center" wrapText="1"/>
    </xf>
    <xf numFmtId="181" fontId="18" fillId="2" borderId="1" xfId="1" applyNumberFormat="1" applyFont="1" applyFill="1" applyBorder="1" applyAlignment="1">
      <alignment horizontal="center" vertical="center" wrapText="1"/>
    </xf>
    <xf numFmtId="181" fontId="18" fillId="2" borderId="1" xfId="0" applyNumberFormat="1" applyFont="1" applyFill="1" applyBorder="1" applyAlignment="1">
      <alignment horizontal="center" vertical="center" wrapText="1"/>
    </xf>
    <xf numFmtId="181" fontId="23" fillId="4" borderId="4" xfId="1" applyNumberFormat="1" applyFont="1" applyFill="1" applyBorder="1" applyAlignment="1">
      <alignment horizontal="center" vertical="center" wrapText="1"/>
    </xf>
    <xf numFmtId="181" fontId="23" fillId="4" borderId="4" xfId="2" applyNumberFormat="1" applyFont="1" applyFill="1" applyBorder="1" applyAlignment="1">
      <alignment horizontal="center" vertical="center" wrapText="1"/>
    </xf>
    <xf numFmtId="2" fontId="19" fillId="3" borderId="2" xfId="1" applyNumberFormat="1" applyFont="1" applyFill="1" applyBorder="1" applyAlignment="1">
      <alignment horizontal="center" vertical="center" wrapText="1"/>
    </xf>
    <xf numFmtId="176" fontId="19" fillId="3" borderId="2" xfId="1" applyNumberFormat="1" applyFont="1" applyFill="1" applyBorder="1" applyAlignment="1">
      <alignment horizontal="center" vertical="center" wrapText="1"/>
    </xf>
    <xf numFmtId="2" fontId="19" fillId="0" borderId="2" xfId="1" applyNumberFormat="1" applyFont="1" applyBorder="1" applyAlignment="1">
      <alignment horizontal="center" vertical="center" wrapText="1"/>
    </xf>
    <xf numFmtId="1" fontId="19" fillId="0" borderId="2" xfId="1" applyNumberFormat="1" applyFont="1" applyBorder="1" applyAlignment="1">
      <alignment horizontal="center" vertical="center" wrapText="1"/>
    </xf>
    <xf numFmtId="1" fontId="6" fillId="0" borderId="2" xfId="1" applyNumberFormat="1" applyFont="1" applyFill="1" applyBorder="1" applyAlignment="1">
      <alignment horizontal="center" vertical="center" wrapText="1"/>
    </xf>
    <xf numFmtId="9" fontId="19" fillId="0" borderId="2" xfId="4" applyFont="1" applyBorder="1" applyAlignment="1">
      <alignment horizontal="center" vertical="center" wrapText="1"/>
    </xf>
    <xf numFmtId="43" fontId="19" fillId="13" borderId="2" xfId="1" applyFont="1" applyFill="1" applyBorder="1" applyAlignment="1">
      <alignment horizontal="center" vertical="center" wrapText="1"/>
    </xf>
    <xf numFmtId="44" fontId="38" fillId="12" borderId="20" xfId="2" applyFont="1" applyFill="1" applyBorder="1" applyAlignment="1">
      <alignment horizontal="center" vertical="center"/>
    </xf>
    <xf numFmtId="44" fontId="38" fillId="12" borderId="20" xfId="2" applyFont="1" applyFill="1" applyBorder="1" applyAlignment="1">
      <alignment horizontal="center" vertical="center" wrapText="1"/>
    </xf>
    <xf numFmtId="44" fontId="38" fillId="12" borderId="21" xfId="2" applyFont="1" applyFill="1" applyBorder="1" applyAlignment="1">
      <alignment horizontal="center" vertical="center" wrapText="1"/>
    </xf>
    <xf numFmtId="44" fontId="39" fillId="0" borderId="22" xfId="2" applyFont="1" applyFill="1" applyBorder="1" applyAlignment="1">
      <alignment horizontal="left"/>
    </xf>
    <xf numFmtId="44" fontId="39" fillId="0" borderId="23" xfId="1" applyNumberFormat="1" applyFont="1" applyFill="1" applyBorder="1" applyAlignment="1">
      <alignment horizontal="right"/>
    </xf>
    <xf numFmtId="2" fontId="39" fillId="0" borderId="23" xfId="1" applyNumberFormat="1" applyFont="1" applyFill="1" applyBorder="1" applyAlignment="1">
      <alignment horizontal="right"/>
    </xf>
    <xf numFmtId="44" fontId="40" fillId="0" borderId="23" xfId="1" applyNumberFormat="1" applyFont="1" applyFill="1" applyBorder="1" applyAlignment="1">
      <alignment horizontal="right"/>
    </xf>
    <xf numFmtId="2" fontId="40" fillId="0" borderId="23" xfId="1" applyNumberFormat="1" applyFont="1" applyFill="1" applyBorder="1" applyAlignment="1">
      <alignment horizontal="right"/>
    </xf>
    <xf numFmtId="0" fontId="42" fillId="0" borderId="2" xfId="0" applyFont="1" applyBorder="1" applyAlignment="1">
      <alignment horizontal="right" vertical="center" wrapText="1"/>
    </xf>
    <xf numFmtId="0" fontId="41" fillId="0" borderId="19" xfId="0" applyFont="1" applyBorder="1" applyAlignment="1">
      <alignment horizontal="center" vertical="center" wrapText="1"/>
    </xf>
    <xf numFmtId="0" fontId="36" fillId="14" borderId="1" xfId="0" applyFont="1" applyFill="1" applyBorder="1" applyAlignment="1">
      <alignment horizontal="center" vertical="center" wrapText="1"/>
    </xf>
    <xf numFmtId="2" fontId="19" fillId="14" borderId="2" xfId="1" applyNumberFormat="1" applyFont="1" applyFill="1" applyBorder="1" applyAlignment="1">
      <alignment horizontal="center" vertical="center" wrapText="1"/>
    </xf>
    <xf numFmtId="43" fontId="19" fillId="14" borderId="2" xfId="1" applyFont="1" applyFill="1" applyBorder="1" applyAlignment="1">
      <alignment horizontal="center" vertical="center" wrapText="1"/>
    </xf>
    <xf numFmtId="4" fontId="19" fillId="13" borderId="2" xfId="0" applyNumberFormat="1" applyFont="1" applyFill="1" applyBorder="1" applyAlignment="1">
      <alignment horizontal="center" vertical="center" wrapText="1"/>
    </xf>
    <xf numFmtId="4" fontId="6" fillId="0" borderId="2" xfId="0" applyNumberFormat="1" applyFont="1" applyBorder="1" applyAlignment="1">
      <alignment horizontal="center" vertical="center" wrapText="1"/>
    </xf>
    <xf numFmtId="1" fontId="19" fillId="14" borderId="2" xfId="1" applyNumberFormat="1" applyFont="1" applyFill="1" applyBorder="1" applyAlignment="1">
      <alignment horizontal="center" vertical="center" wrapText="1"/>
    </xf>
    <xf numFmtId="9" fontId="19" fillId="14" borderId="2" xfId="4" applyFont="1" applyFill="1" applyBorder="1" applyAlignment="1">
      <alignment horizontal="center" vertical="center" wrapText="1"/>
    </xf>
    <xf numFmtId="1" fontId="6" fillId="13" borderId="2" xfId="1" applyNumberFormat="1" applyFont="1" applyFill="1" applyBorder="1" applyAlignment="1">
      <alignment horizontal="center" vertical="center" wrapText="1"/>
    </xf>
    <xf numFmtId="167" fontId="19" fillId="14" borderId="2" xfId="1" applyNumberFormat="1" applyFont="1" applyFill="1" applyBorder="1" applyAlignment="1">
      <alignment horizontal="center" vertical="center" wrapText="1"/>
    </xf>
    <xf numFmtId="3" fontId="19" fillId="13" borderId="2" xfId="0" applyNumberFormat="1" applyFont="1" applyFill="1" applyBorder="1" applyAlignment="1">
      <alignment horizontal="center" vertical="center" wrapText="1"/>
    </xf>
    <xf numFmtId="3" fontId="19" fillId="14" borderId="2" xfId="0" applyNumberFormat="1" applyFont="1" applyFill="1" applyBorder="1" applyAlignment="1">
      <alignment horizontal="center" vertical="center" wrapText="1"/>
    </xf>
    <xf numFmtId="3" fontId="6" fillId="0" borderId="2" xfId="0" applyNumberFormat="1" applyFont="1" applyBorder="1" applyAlignment="1">
      <alignment horizontal="center" vertical="center" wrapText="1"/>
    </xf>
    <xf numFmtId="172" fontId="19" fillId="14" borderId="2" xfId="0" applyNumberFormat="1" applyFont="1" applyFill="1" applyBorder="1" applyAlignment="1">
      <alignment horizontal="center" vertical="center" wrapText="1"/>
    </xf>
    <xf numFmtId="43" fontId="19" fillId="0" borderId="2" xfId="1" applyFont="1" applyFill="1" applyBorder="1" applyAlignment="1">
      <alignment horizontal="center" vertical="center" wrapText="1"/>
    </xf>
    <xf numFmtId="9" fontId="26" fillId="0" borderId="6" xfId="0" applyNumberFormat="1" applyFont="1" applyBorder="1" applyAlignment="1">
      <alignment horizontal="center" vertical="center" wrapText="1"/>
    </xf>
    <xf numFmtId="44" fontId="39" fillId="0" borderId="20" xfId="2" applyFont="1" applyFill="1" applyBorder="1" applyAlignment="1">
      <alignment horizontal="left"/>
    </xf>
    <xf numFmtId="44" fontId="39" fillId="0" borderId="21" xfId="1" applyNumberFormat="1" applyFont="1" applyFill="1" applyBorder="1" applyAlignment="1">
      <alignment horizontal="right"/>
    </xf>
    <xf numFmtId="2" fontId="39" fillId="0" borderId="21" xfId="1" applyNumberFormat="1" applyFont="1" applyFill="1" applyBorder="1" applyAlignment="1">
      <alignment horizontal="right"/>
    </xf>
    <xf numFmtId="0" fontId="43" fillId="5" borderId="0" xfId="0" applyFont="1" applyFill="1" applyAlignment="1">
      <alignment horizontal="center"/>
    </xf>
    <xf numFmtId="3" fontId="43" fillId="5" borderId="0" xfId="0" applyNumberFormat="1" applyFont="1" applyFill="1" applyAlignment="1">
      <alignment horizontal="center"/>
    </xf>
    <xf numFmtId="175" fontId="23" fillId="4" borderId="24" xfId="0" applyNumberFormat="1" applyFont="1" applyFill="1" applyBorder="1" applyAlignment="1">
      <alignment horizontal="center" vertical="center" wrapText="1"/>
    </xf>
    <xf numFmtId="4" fontId="18" fillId="4" borderId="24" xfId="0" applyNumberFormat="1" applyFont="1" applyFill="1" applyBorder="1" applyAlignment="1">
      <alignment horizontal="center" vertical="center" wrapText="1"/>
    </xf>
    <xf numFmtId="167" fontId="23" fillId="4" borderId="24" xfId="0" applyNumberFormat="1" applyFont="1" applyFill="1" applyBorder="1" applyAlignment="1">
      <alignment horizontal="center" vertical="center" wrapText="1"/>
    </xf>
    <xf numFmtId="0" fontId="44" fillId="0" borderId="0" xfId="0" applyFont="1"/>
    <xf numFmtId="43" fontId="0" fillId="0" borderId="0" xfId="0" applyNumberFormat="1"/>
    <xf numFmtId="2" fontId="0" fillId="0" borderId="0" xfId="0" applyNumberFormat="1"/>
    <xf numFmtId="0" fontId="21" fillId="0" borderId="2" xfId="0" applyFont="1" applyBorder="1" applyAlignment="1">
      <alignment horizontal="left" vertical="center" wrapText="1"/>
    </xf>
    <xf numFmtId="0" fontId="22" fillId="0" borderId="2" xfId="0" applyFont="1" applyBorder="1" applyAlignment="1">
      <alignment horizontal="left" vertical="center" wrapText="1"/>
    </xf>
    <xf numFmtId="44" fontId="40" fillId="0" borderId="23" xfId="2" applyFont="1" applyFill="1" applyBorder="1" applyAlignment="1">
      <alignment horizontal="center"/>
    </xf>
    <xf numFmtId="0" fontId="4" fillId="0" borderId="0" xfId="3" applyFont="1" applyAlignment="1">
      <alignment horizontal="center"/>
    </xf>
    <xf numFmtId="0" fontId="1" fillId="5" borderId="0" xfId="21" applyFill="1" applyAlignment="1">
      <alignment horizontal="center"/>
    </xf>
    <xf numFmtId="0" fontId="32" fillId="2" borderId="7" xfId="21" applyFont="1" applyFill="1" applyBorder="1" applyAlignment="1">
      <alignment horizontal="center" vertical="center" wrapText="1"/>
    </xf>
    <xf numFmtId="0" fontId="32" fillId="2" borderId="8" xfId="21" applyFont="1" applyFill="1" applyBorder="1" applyAlignment="1">
      <alignment horizontal="center" vertical="center" wrapText="1"/>
    </xf>
    <xf numFmtId="0" fontId="32" fillId="2" borderId="9" xfId="21" applyFont="1" applyFill="1" applyBorder="1" applyAlignment="1">
      <alignment horizontal="center" vertical="center" wrapText="1"/>
    </xf>
    <xf numFmtId="0" fontId="33" fillId="6" borderId="7" xfId="21" applyFont="1" applyFill="1" applyBorder="1" applyAlignment="1">
      <alignment horizontal="center"/>
    </xf>
    <xf numFmtId="0" fontId="33" fillId="6" borderId="8" xfId="21" applyFont="1" applyFill="1" applyBorder="1" applyAlignment="1">
      <alignment horizontal="center"/>
    </xf>
    <xf numFmtId="0" fontId="33" fillId="6" borderId="10" xfId="21" applyFont="1" applyFill="1" applyBorder="1" applyAlignment="1">
      <alignment horizontal="center"/>
    </xf>
    <xf numFmtId="0" fontId="33" fillId="6" borderId="11" xfId="21" applyFont="1" applyFill="1" applyBorder="1" applyAlignment="1">
      <alignment horizontal="center"/>
    </xf>
    <xf numFmtId="0" fontId="34" fillId="6" borderId="12" xfId="21" applyFont="1" applyFill="1" applyBorder="1" applyAlignment="1">
      <alignment horizontal="center" vertical="center" wrapText="1"/>
    </xf>
    <xf numFmtId="0" fontId="34" fillId="6" borderId="13" xfId="21" applyFont="1" applyFill="1" applyBorder="1" applyAlignment="1">
      <alignment horizontal="center" vertical="center" wrapText="1"/>
    </xf>
  </cellXfs>
  <cellStyles count="23">
    <cellStyle name="Comma" xfId="1" builtinId="3"/>
    <cellStyle name="Comma 2" xfId="6" xr:uid="{00000000-0005-0000-0000-000001000000}"/>
    <cellStyle name="Comma 3" xfId="10" xr:uid="{00000000-0005-0000-0000-000002000000}"/>
    <cellStyle name="Comma 4" xfId="12" xr:uid="{00000000-0005-0000-0000-000003000000}"/>
    <cellStyle name="Comma 5" xfId="22" xr:uid="{97C85E63-0882-4C2D-9377-ACDE82DF74A6}"/>
    <cellStyle name="Currency" xfId="2" builtinId="4"/>
    <cellStyle name="Currency 2" xfId="7" xr:uid="{00000000-0005-0000-0000-000005000000}"/>
    <cellStyle name="Currency 3" xfId="11" xr:uid="{00000000-0005-0000-0000-000006000000}"/>
    <cellStyle name="Currency 4" xfId="13" xr:uid="{00000000-0005-0000-0000-000007000000}"/>
    <cellStyle name="Normal" xfId="0" builtinId="0"/>
    <cellStyle name="Normal 10" xfId="20" xr:uid="{49E0050A-87AA-4EB7-8984-F9DB2B2592F6}"/>
    <cellStyle name="Normal 11" xfId="21" xr:uid="{31F826D3-7E0D-4500-9730-D050EE607D52}"/>
    <cellStyle name="Normal 2" xfId="8" xr:uid="{00000000-0005-0000-0000-000009000000}"/>
    <cellStyle name="Normal 3" xfId="5" xr:uid="{00000000-0005-0000-0000-00000A000000}"/>
    <cellStyle name="Normal 4" xfId="9" xr:uid="{00000000-0005-0000-0000-00000B000000}"/>
    <cellStyle name="Normal 5" xfId="15" xr:uid="{00000000-0005-0000-0000-00000C000000}"/>
    <cellStyle name="Normal 6" xfId="16" xr:uid="{00000000-0005-0000-0000-00000D000000}"/>
    <cellStyle name="Normal 7" xfId="17" xr:uid="{00000000-0005-0000-0000-00000E000000}"/>
    <cellStyle name="Normal 8" xfId="18" xr:uid="{00000000-0005-0000-0000-00000F000000}"/>
    <cellStyle name="Normal 9" xfId="19" xr:uid="{00000000-0005-0000-0000-000010000000}"/>
    <cellStyle name="Normal_Copy of Avoided Cost adjusted Final" xfId="3" xr:uid="{00000000-0005-0000-0000-000011000000}"/>
    <cellStyle name="Percent" xfId="4" builtinId="5"/>
    <cellStyle name="Percent 2" xfId="14" xr:uid="{00000000-0005-0000-0000-000014000000}"/>
  </cellStyles>
  <dxfs count="0"/>
  <tableStyles count="0" defaultTableStyle="TableStyleMedium9" defaultPivotStyle="PivotStyleLight16"/>
  <colors>
    <mruColors>
      <color rgb="FFE8E6E6"/>
      <color rgb="FFDCC5ED"/>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Laron%20T\WA%20CPI\Tools_103006\Comml_Measures_C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pt\Rates\Laron%20T\WA%20CPI\Tools_103006\DaveB\loadprofi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llison.spector\Local%20Settings\Temporary%20Internet%20Files\OLKE1\Cost%20Effectiveness%20calcul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llison.spector\Local%20Settings\Temporary%20Internet%20Files\OLKE1\misc%20no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EG\Clients\Cascade%20Natural%20Gas\1007577%202023%20WA%20Natural%20Gas%20CPA\Biennial%20Plan%20Support\Updated%20Commercial%20Template_10-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Summary"/>
      <sheetName val="Results"/>
      <sheetName val="ECMs"/>
      <sheetName val="Applicability"/>
      <sheetName val="AppFuelSat"/>
      <sheetName val="Penetration"/>
      <sheetName val="TechPopRat"/>
      <sheetName val="AchievePopRat"/>
      <sheetName val="MeasElecSavings"/>
      <sheetName val="MeasGasSavings"/>
      <sheetName val="MeasureCost"/>
      <sheetName val="O_M"/>
      <sheetName val="SmOffice"/>
      <sheetName val="LgOffice"/>
      <sheetName val="Restaurant"/>
      <sheetName val="Retail"/>
      <sheetName val="Grocery"/>
      <sheetName val="School"/>
      <sheetName val="Warehouse"/>
      <sheetName val="College"/>
      <sheetName val="Hospital"/>
      <sheetName val="OtherHealth"/>
      <sheetName val="Lodging"/>
      <sheetName val="Other"/>
      <sheetName val="Characteristics"/>
      <sheetName val="Population"/>
      <sheetName val="EUIS"/>
      <sheetName val="Constant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v>5.1742837700707422E-2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Profiles"/>
      <sheetName val="loadprofiles"/>
    </sheetNames>
    <sheetDataSet>
      <sheetData sheetId="0">
        <row r="2">
          <cell r="G2" t="str">
            <v>Index</v>
          </cell>
          <cell r="H2" t="str">
            <v>FLAT</v>
          </cell>
          <cell r="I2" t="str">
            <v>ExLgOffGasHt</v>
          </cell>
          <cell r="J2" t="str">
            <v>NewCommLight</v>
          </cell>
          <cell r="K2" t="str">
            <v>Off Peak</v>
          </cell>
          <cell r="M2" t="str">
            <v>ResDHW</v>
          </cell>
          <cell r="N2" t="str">
            <v>ResSpHtHPZ1</v>
          </cell>
          <cell r="O2" t="str">
            <v>ResSH</v>
          </cell>
          <cell r="P2" t="str">
            <v>SmComWX</v>
          </cell>
          <cell r="Q2" t="str">
            <v>SolarDHWZ3W</v>
          </cell>
          <cell r="Y2" t="str">
            <v>Gas Load Profile</v>
          </cell>
        </row>
        <row r="3">
          <cell r="A3" t="str">
            <v>Flat</v>
          </cell>
          <cell r="B3">
            <v>1.1763812993321188E-4</v>
          </cell>
          <cell r="C3">
            <v>1.1763812993321188E-4</v>
          </cell>
          <cell r="D3">
            <v>2</v>
          </cell>
          <cell r="G3" t="str">
            <v>Index</v>
          </cell>
          <cell r="H3" t="str">
            <v>Flat</v>
          </cell>
          <cell r="I3" t="str">
            <v>HVAC</v>
          </cell>
          <cell r="J3" t="str">
            <v>On Peak</v>
          </cell>
          <cell r="K3" t="str">
            <v>Off Peak</v>
          </cell>
          <cell r="L3" t="str">
            <v>Res Cooling</v>
          </cell>
          <cell r="M3" t="str">
            <v>Res DHW</v>
          </cell>
          <cell r="N3" t="str">
            <v>Res HP</v>
          </cell>
          <cell r="O3" t="str">
            <v>ResSH</v>
          </cell>
          <cell r="P3" t="str">
            <v>Shell Wx</v>
          </cell>
          <cell r="Q3" t="str">
            <v>Solar DHW</v>
          </cell>
          <cell r="Y3" t="str">
            <v>Load Profile</v>
          </cell>
          <cell r="Z3" t="str">
            <v>Capacity Factor</v>
          </cell>
          <cell r="AB3">
            <v>2004</v>
          </cell>
          <cell r="AC3">
            <v>0</v>
          </cell>
        </row>
        <row r="4">
          <cell r="A4" t="str">
            <v>HVAC</v>
          </cell>
          <cell r="B4">
            <v>2.4798087477391641E-4</v>
          </cell>
          <cell r="C4">
            <v>2.1597075847529313E-4</v>
          </cell>
          <cell r="D4">
            <v>3</v>
          </cell>
          <cell r="G4">
            <v>1</v>
          </cell>
          <cell r="H4">
            <v>4.5200742747461393E-2</v>
          </cell>
          <cell r="I4">
            <v>5.0832409242958218E-2</v>
          </cell>
          <cell r="J4">
            <v>6.2898578839727964E-2</v>
          </cell>
          <cell r="K4">
            <v>3.233352402940598E-2</v>
          </cell>
          <cell r="L4">
            <v>6.418585588333206E-2</v>
          </cell>
          <cell r="M4">
            <v>5.3929403121569665E-2</v>
          </cell>
          <cell r="N4">
            <v>5.4783675154386841E-2</v>
          </cell>
          <cell r="O4">
            <v>5.1223986971486765E-2</v>
          </cell>
          <cell r="P4">
            <v>4.6085668233944374E-2</v>
          </cell>
          <cell r="Q4">
            <v>5.6024259880257429E-2</v>
          </cell>
          <cell r="Y4" t="str">
            <v>Existing Process</v>
          </cell>
          <cell r="Z4">
            <v>1</v>
          </cell>
          <cell r="AB4">
            <v>2005</v>
          </cell>
          <cell r="AC4">
            <v>1</v>
          </cell>
          <cell r="AD4">
            <v>4.2938147835148658E-3</v>
          </cell>
          <cell r="AE4">
            <v>0.67198576340909832</v>
          </cell>
        </row>
        <row r="5">
          <cell r="A5" t="str">
            <v>On Peak</v>
          </cell>
          <cell r="B5">
            <v>1.369382746367748E-4</v>
          </cell>
          <cell r="C5">
            <v>1.7969293569575331E-4</v>
          </cell>
          <cell r="D5">
            <v>4</v>
          </cell>
          <cell r="G5">
            <v>2</v>
          </cell>
          <cell r="H5">
            <v>9.2800359841590435E-2</v>
          </cell>
          <cell r="I5">
            <v>0.10561538324464102</v>
          </cell>
          <cell r="J5">
            <v>0.13009902431398201</v>
          </cell>
          <cell r="K5">
            <v>6.4526667453299658E-2</v>
          </cell>
          <cell r="L5">
            <v>0.14294269433272935</v>
          </cell>
          <cell r="M5">
            <v>0.1080724123252276</v>
          </cell>
          <cell r="N5">
            <v>0.11274004765260676</v>
          </cell>
          <cell r="O5">
            <v>0.1036505579241048</v>
          </cell>
          <cell r="P5">
            <v>9.2728877179108299E-2</v>
          </cell>
          <cell r="Q5">
            <v>0.1212450513222444</v>
          </cell>
          <cell r="Y5" t="str">
            <v>Existing Space Heat</v>
          </cell>
          <cell r="Z5">
            <v>0.1429</v>
          </cell>
          <cell r="AB5">
            <v>2006</v>
          </cell>
          <cell r="AC5">
            <v>2</v>
          </cell>
          <cell r="AD5">
            <v>8.4625670005195885E-3</v>
          </cell>
          <cell r="AE5">
            <v>1.2925750169972638</v>
          </cell>
        </row>
        <row r="6">
          <cell r="A6" t="str">
            <v>Off Peak</v>
          </cell>
          <cell r="B6">
            <v>0</v>
          </cell>
          <cell r="C6">
            <v>0</v>
          </cell>
          <cell r="D6">
            <v>5</v>
          </cell>
          <cell r="G6">
            <v>3</v>
          </cell>
          <cell r="H6">
            <v>0.14039997693571948</v>
          </cell>
          <cell r="I6">
            <v>0.16039835724632384</v>
          </cell>
          <cell r="J6">
            <v>0.19729946978823609</v>
          </cell>
          <cell r="K6">
            <v>9.6719810877193335E-2</v>
          </cell>
          <cell r="L6">
            <v>0.22169953278212665</v>
          </cell>
          <cell r="M6">
            <v>0.16221542152888554</v>
          </cell>
          <cell r="N6">
            <v>0.17069642015082667</v>
          </cell>
          <cell r="O6">
            <v>0.15607712887672281</v>
          </cell>
          <cell r="P6">
            <v>0.13937208612427221</v>
          </cell>
          <cell r="Q6">
            <v>0.18646584276423139</v>
          </cell>
          <cell r="Y6" t="str">
            <v>New Process</v>
          </cell>
          <cell r="Z6">
            <v>1</v>
          </cell>
          <cell r="AB6">
            <v>2007</v>
          </cell>
          <cell r="AC6">
            <v>3</v>
          </cell>
          <cell r="AD6">
            <v>1.2509899250038739E-2</v>
          </cell>
          <cell r="AE6">
            <v>1.8659192012449919</v>
          </cell>
        </row>
        <row r="7">
          <cell r="A7" t="str">
            <v>Res Cooling</v>
          </cell>
          <cell r="B7">
            <v>0</v>
          </cell>
          <cell r="C7">
            <v>4.560719657729473E-4</v>
          </cell>
          <cell r="D7">
            <v>6</v>
          </cell>
          <cell r="G7">
            <v>4</v>
          </cell>
          <cell r="H7">
            <v>0.18799959402984853</v>
          </cell>
          <cell r="I7">
            <v>0.21518133124800665</v>
          </cell>
          <cell r="J7">
            <v>0.26449991526249017</v>
          </cell>
          <cell r="K7">
            <v>0.12891295430108701</v>
          </cell>
          <cell r="L7">
            <v>0.30045637123152391</v>
          </cell>
          <cell r="M7">
            <v>0.21635843073254349</v>
          </cell>
          <cell r="N7">
            <v>0.22865279264904659</v>
          </cell>
          <cell r="O7">
            <v>0.20850369982934083</v>
          </cell>
          <cell r="P7">
            <v>0.18601529506943615</v>
          </cell>
          <cell r="Q7">
            <v>0.2516866342062184</v>
          </cell>
          <cell r="Y7" t="str">
            <v>New Space Heat</v>
          </cell>
          <cell r="Z7">
            <v>0.13800000000000001</v>
          </cell>
          <cell r="AB7">
            <v>2008</v>
          </cell>
          <cell r="AC7">
            <v>4</v>
          </cell>
          <cell r="AD7">
            <v>1.643934803597966E-2</v>
          </cell>
          <cell r="AE7">
            <v>2.3958274323329798</v>
          </cell>
        </row>
        <row r="8">
          <cell r="A8" t="str">
            <v>Res DHW</v>
          </cell>
          <cell r="B8">
            <v>1.4471686532932781E-4</v>
          </cell>
          <cell r="C8">
            <v>1.2120037471331203E-4</v>
          </cell>
          <cell r="D8">
            <v>7</v>
          </cell>
          <cell r="G8">
            <v>5</v>
          </cell>
          <cell r="H8">
            <v>0.23559921112397758</v>
          </cell>
          <cell r="I8">
            <v>0.26996430524968945</v>
          </cell>
          <cell r="J8">
            <v>0.33170036073674425</v>
          </cell>
          <cell r="K8">
            <v>0.16110609772498069</v>
          </cell>
          <cell r="L8">
            <v>0.3792132096809212</v>
          </cell>
          <cell r="M8">
            <v>0.27050143993620146</v>
          </cell>
          <cell r="N8">
            <v>0.28660916514726653</v>
          </cell>
          <cell r="O8">
            <v>0.26093027078195885</v>
          </cell>
          <cell r="P8">
            <v>0.23265850401460009</v>
          </cell>
          <cell r="Q8">
            <v>0.3169074256482054</v>
          </cell>
          <cell r="Y8" t="str">
            <v>None</v>
          </cell>
          <cell r="Z8">
            <v>0</v>
          </cell>
          <cell r="AB8">
            <v>2009</v>
          </cell>
          <cell r="AC8">
            <v>5</v>
          </cell>
          <cell r="AD8">
            <v>2.0254346857281526E-2</v>
          </cell>
          <cell r="AE8">
            <v>2.885794940481158</v>
          </cell>
        </row>
        <row r="9">
          <cell r="A9" t="str">
            <v>Res HP</v>
          </cell>
          <cell r="B9">
            <v>1.6717097771270541E-4</v>
          </cell>
          <cell r="C9">
            <v>4.1906621115991547E-5</v>
          </cell>
          <cell r="D9">
            <v>8</v>
          </cell>
          <cell r="G9">
            <v>6</v>
          </cell>
          <cell r="H9">
            <v>0.2831988282181066</v>
          </cell>
          <cell r="I9">
            <v>0.32474727925137226</v>
          </cell>
          <cell r="J9">
            <v>0.39890080621099833</v>
          </cell>
          <cell r="K9">
            <v>0.19329924114887437</v>
          </cell>
          <cell r="L9">
            <v>0.4579700481303185</v>
          </cell>
          <cell r="M9">
            <v>0.3246444491398594</v>
          </cell>
          <cell r="N9">
            <v>0.34456553764548647</v>
          </cell>
          <cell r="O9">
            <v>0.3133568417345769</v>
          </cell>
          <cell r="P9">
            <v>0.27930171295976403</v>
          </cell>
          <cell r="Q9">
            <v>0.3821282170901924</v>
          </cell>
          <cell r="AB9">
            <v>2010</v>
          </cell>
          <cell r="AC9">
            <v>6</v>
          </cell>
          <cell r="AD9">
            <v>2.3958229208060039E-2</v>
          </cell>
          <cell r="AE9">
            <v>3.3390291395899805</v>
          </cell>
        </row>
        <row r="10">
          <cell r="A10" t="str">
            <v>Res SH</v>
          </cell>
          <cell r="B10">
            <v>2.5162728156740127E-4</v>
          </cell>
          <cell r="C10">
            <v>6.9906806433752534E-6</v>
          </cell>
          <cell r="D10">
            <v>9</v>
          </cell>
          <cell r="G10">
            <v>7</v>
          </cell>
          <cell r="H10">
            <v>0.33079844531223562</v>
          </cell>
          <cell r="I10">
            <v>0.37953025325305506</v>
          </cell>
          <cell r="J10">
            <v>0.4661012516852524</v>
          </cell>
          <cell r="K10">
            <v>0.22549238457276805</v>
          </cell>
          <cell r="L10">
            <v>0.53672688657971579</v>
          </cell>
          <cell r="M10">
            <v>0.37878745834351735</v>
          </cell>
          <cell r="N10">
            <v>0.40252191014370642</v>
          </cell>
          <cell r="O10">
            <v>0.36578341268719494</v>
          </cell>
          <cell r="P10">
            <v>0.32594492190492796</v>
          </cell>
          <cell r="Q10">
            <v>0.4473490085321794</v>
          </cell>
          <cell r="AB10">
            <v>2011</v>
          </cell>
          <cell r="AC10">
            <v>7</v>
          </cell>
          <cell r="AD10">
            <v>3.004333220015741E-2</v>
          </cell>
          <cell r="AE10">
            <v>3.7757293698351506</v>
          </cell>
        </row>
        <row r="11">
          <cell r="A11" t="str">
            <v>Shell Wx</v>
          </cell>
          <cell r="B11">
            <v>3.4331518021211006E-4</v>
          </cell>
          <cell r="C11">
            <v>3.1101589120941116E-5</v>
          </cell>
          <cell r="D11">
            <v>10</v>
          </cell>
          <cell r="G11">
            <v>8</v>
          </cell>
          <cell r="H11">
            <v>0.37839806240636464</v>
          </cell>
          <cell r="I11">
            <v>0.43431322725473787</v>
          </cell>
          <cell r="J11">
            <v>0.53330169715950648</v>
          </cell>
          <cell r="K11">
            <v>0.25768552799666172</v>
          </cell>
          <cell r="L11">
            <v>0.61548372502911308</v>
          </cell>
          <cell r="M11">
            <v>0.43293046754717529</v>
          </cell>
          <cell r="N11">
            <v>0.46047828264192636</v>
          </cell>
          <cell r="O11">
            <v>0.41820998363981299</v>
          </cell>
          <cell r="P11">
            <v>0.3725881308500919</v>
          </cell>
          <cell r="Q11">
            <v>0.51256979997416641</v>
          </cell>
          <cell r="AB11">
            <v>2012</v>
          </cell>
          <cell r="AC11">
            <v>8</v>
          </cell>
          <cell r="AD11">
            <v>3.5951199182776214E-2</v>
          </cell>
          <cell r="AE11">
            <v>4.1965035689478638</v>
          </cell>
        </row>
        <row r="12">
          <cell r="A12" t="str">
            <v>Solar DHW</v>
          </cell>
          <cell r="B12">
            <v>1.3535404337832553E-4</v>
          </cell>
          <cell r="C12">
            <v>4.2484080028791884E-4</v>
          </cell>
          <cell r="D12">
            <v>11</v>
          </cell>
          <cell r="G12">
            <v>9</v>
          </cell>
          <cell r="H12">
            <v>0.42599767950049366</v>
          </cell>
          <cell r="I12">
            <v>0.48909620125642067</v>
          </cell>
          <cell r="J12">
            <v>0.60050214263376056</v>
          </cell>
          <cell r="K12">
            <v>0.2898786714205554</v>
          </cell>
          <cell r="L12">
            <v>0.69424056347851038</v>
          </cell>
          <cell r="M12">
            <v>0.48707347675083323</v>
          </cell>
          <cell r="N12">
            <v>0.51843465514014631</v>
          </cell>
          <cell r="O12">
            <v>0.47063655459243103</v>
          </cell>
          <cell r="P12">
            <v>0.41923133979525584</v>
          </cell>
          <cell r="Q12">
            <v>0.57779059141615341</v>
          </cell>
          <cell r="AB12">
            <v>2013</v>
          </cell>
          <cell r="AC12">
            <v>9</v>
          </cell>
          <cell r="AD12">
            <v>4.1686992369784764E-2</v>
          </cell>
          <cell r="AE12">
            <v>4.6019371767205355</v>
          </cell>
        </row>
        <row r="13">
          <cell r="A13" t="str">
            <v>None</v>
          </cell>
          <cell r="B13">
            <v>0</v>
          </cell>
          <cell r="C13">
            <v>0</v>
          </cell>
          <cell r="G13">
            <v>10</v>
          </cell>
          <cell r="H13">
            <v>0.47359729659462274</v>
          </cell>
          <cell r="I13">
            <v>0.54387917525810348</v>
          </cell>
          <cell r="J13">
            <v>0.66770258810801453</v>
          </cell>
          <cell r="K13">
            <v>0.32207181484444908</v>
          </cell>
          <cell r="L13">
            <v>0.77299740192790767</v>
          </cell>
          <cell r="M13">
            <v>0.54121648595449112</v>
          </cell>
          <cell r="N13">
            <v>0.57639102763836614</v>
          </cell>
          <cell r="O13">
            <v>0.52306312554504897</v>
          </cell>
          <cell r="P13">
            <v>0.46587454874041967</v>
          </cell>
          <cell r="Q13">
            <v>0.64301138285814019</v>
          </cell>
          <cell r="AB13">
            <v>2014</v>
          </cell>
          <cell r="AC13">
            <v>10</v>
          </cell>
          <cell r="AD13">
            <v>4.7255723619307625E-2</v>
          </cell>
          <cell r="AE13">
            <v>4.9925939719323766</v>
          </cell>
        </row>
        <row r="14">
          <cell r="G14">
            <v>11</v>
          </cell>
          <cell r="H14">
            <v>0.51056452561162924</v>
          </cell>
          <cell r="I14">
            <v>0.58637420810338148</v>
          </cell>
          <cell r="J14">
            <v>0.7193195730327191</v>
          </cell>
          <cell r="K14">
            <v>0.3474697002333077</v>
          </cell>
          <cell r="L14">
            <v>0.83607430640049629</v>
          </cell>
          <cell r="M14">
            <v>0.58313720399169633</v>
          </cell>
          <cell r="N14">
            <v>0.62025291673152338</v>
          </cell>
          <cell r="O14">
            <v>0.562702017066261</v>
          </cell>
          <cell r="P14">
            <v>0.50128141406669102</v>
          </cell>
          <cell r="Q14">
            <v>0.6947101600536506</v>
          </cell>
          <cell r="AB14">
            <v>2015</v>
          </cell>
          <cell r="AC14">
            <v>11</v>
          </cell>
          <cell r="AD14">
            <v>5.2662258813019142E-2</v>
          </cell>
          <cell r="AE14">
            <v>5.3690168780115872</v>
          </cell>
        </row>
        <row r="15">
          <cell r="G15">
            <v>12</v>
          </cell>
          <cell r="H15">
            <v>0.54753175462863579</v>
          </cell>
          <cell r="I15">
            <v>0.62886924094865948</v>
          </cell>
          <cell r="J15">
            <v>0.77093655795742366</v>
          </cell>
          <cell r="K15">
            <v>0.37286758562216632</v>
          </cell>
          <cell r="L15">
            <v>0.89915121087308503</v>
          </cell>
          <cell r="M15">
            <v>0.62505792202890154</v>
          </cell>
          <cell r="N15">
            <v>0.66411480582468063</v>
          </cell>
          <cell r="O15">
            <v>0.60234090858747302</v>
          </cell>
          <cell r="P15">
            <v>0.53668827939296238</v>
          </cell>
          <cell r="Q15">
            <v>0.74640893724916102</v>
          </cell>
          <cell r="AB15">
            <v>2016</v>
          </cell>
          <cell r="AC15">
            <v>12</v>
          </cell>
          <cell r="AD15">
            <v>5.7911322107884695E-2</v>
          </cell>
          <cell r="AE15">
            <v>5.7351786184490807</v>
          </cell>
        </row>
        <row r="16">
          <cell r="G16">
            <v>13</v>
          </cell>
          <cell r="H16">
            <v>0.58449898364564234</v>
          </cell>
          <cell r="I16">
            <v>0.67136427379393748</v>
          </cell>
          <cell r="J16">
            <v>0.82255354288212823</v>
          </cell>
          <cell r="K16">
            <v>0.39826547101102494</v>
          </cell>
          <cell r="L16">
            <v>0.96222811534567376</v>
          </cell>
          <cell r="M16">
            <v>0.66697864006610674</v>
          </cell>
          <cell r="N16">
            <v>0.70797669491783788</v>
          </cell>
          <cell r="O16">
            <v>0.64197980010868505</v>
          </cell>
          <cell r="P16">
            <v>0.57209514471923373</v>
          </cell>
          <cell r="Q16">
            <v>0.79810771444467143</v>
          </cell>
          <cell r="AB16">
            <v>2017</v>
          </cell>
          <cell r="AC16">
            <v>13</v>
          </cell>
          <cell r="AD16">
            <v>7.7967869911907683E-2</v>
          </cell>
          <cell r="AE16">
            <v>6.0913591768809345</v>
          </cell>
        </row>
        <row r="17">
          <cell r="G17">
            <v>14</v>
          </cell>
          <cell r="H17">
            <v>0.6214662126626489</v>
          </cell>
          <cell r="I17">
            <v>0.71385930663921549</v>
          </cell>
          <cell r="J17">
            <v>0.8741705278068328</v>
          </cell>
          <cell r="K17">
            <v>0.42366335639988356</v>
          </cell>
          <cell r="L17">
            <v>1.0253050198182625</v>
          </cell>
          <cell r="M17">
            <v>0.70889935810331195</v>
          </cell>
          <cell r="N17">
            <v>0.75183858401099513</v>
          </cell>
          <cell r="O17">
            <v>0.68161869162989708</v>
          </cell>
          <cell r="P17">
            <v>0.60750201004550508</v>
          </cell>
          <cell r="Q17">
            <v>0.84980649164018185</v>
          </cell>
          <cell r="AB17">
            <v>2018</v>
          </cell>
          <cell r="AC17">
            <v>14</v>
          </cell>
          <cell r="AD17">
            <v>0.13449797051354906</v>
          </cell>
          <cell r="AE17">
            <v>6.4378308896932648</v>
          </cell>
        </row>
        <row r="18">
          <cell r="G18">
            <v>15</v>
          </cell>
          <cell r="H18">
            <v>0.65843344167965545</v>
          </cell>
          <cell r="I18">
            <v>0.75635433948449349</v>
          </cell>
          <cell r="J18">
            <v>0.92578751273153737</v>
          </cell>
          <cell r="K18">
            <v>0.44906124178874218</v>
          </cell>
          <cell r="L18">
            <v>1.0883819242908512</v>
          </cell>
          <cell r="M18">
            <v>0.75082007614051716</v>
          </cell>
          <cell r="N18">
            <v>0.79570047310415237</v>
          </cell>
          <cell r="O18">
            <v>0.72125758315110911</v>
          </cell>
          <cell r="P18">
            <v>0.64290887537177643</v>
          </cell>
          <cell r="Q18">
            <v>0.90150526883569226</v>
          </cell>
          <cell r="AB18">
            <v>2019</v>
          </cell>
          <cell r="AC18">
            <v>15</v>
          </cell>
          <cell r="AD18">
            <v>0.15340319042496672</v>
          </cell>
          <cell r="AE18">
            <v>6.7748586551136309</v>
          </cell>
        </row>
        <row r="19">
          <cell r="G19">
            <v>16</v>
          </cell>
          <cell r="H19">
            <v>0.695400670696662</v>
          </cell>
          <cell r="I19">
            <v>0.79884937232977149</v>
          </cell>
          <cell r="J19">
            <v>0.97740449765624193</v>
          </cell>
          <cell r="K19">
            <v>0.4744591271776008</v>
          </cell>
          <cell r="L19">
            <v>1.15145882876344</v>
          </cell>
          <cell r="M19">
            <v>0.79274079417772236</v>
          </cell>
          <cell r="N19">
            <v>0.83956236219730962</v>
          </cell>
          <cell r="O19">
            <v>0.76089647467232113</v>
          </cell>
          <cell r="P19">
            <v>0.67831574069804779</v>
          </cell>
          <cell r="Q19">
            <v>0.95320404603120268</v>
          </cell>
          <cell r="AB19">
            <v>2020</v>
          </cell>
          <cell r="AC19">
            <v>16</v>
          </cell>
          <cell r="AD19">
            <v>0.20668823199499345</v>
          </cell>
          <cell r="AE19">
            <v>7.1027001365791298</v>
          </cell>
        </row>
        <row r="20">
          <cell r="G20">
            <v>17</v>
          </cell>
          <cell r="H20">
            <v>0.73236789971366856</v>
          </cell>
          <cell r="I20">
            <v>0.84134440517504949</v>
          </cell>
          <cell r="J20">
            <v>1.0290214825809465</v>
          </cell>
          <cell r="K20">
            <v>0.49985701256645942</v>
          </cell>
          <cell r="L20">
            <v>1.2145357332360287</v>
          </cell>
          <cell r="M20">
            <v>0.83466151221492757</v>
          </cell>
          <cell r="N20">
            <v>0.88342425129046687</v>
          </cell>
          <cell r="O20">
            <v>0.80053536619353316</v>
          </cell>
          <cell r="P20">
            <v>0.71372260602431914</v>
          </cell>
          <cell r="Q20">
            <v>1.004902823226713</v>
          </cell>
          <cell r="AB20">
            <v>2021</v>
          </cell>
          <cell r="AC20">
            <v>17</v>
          </cell>
          <cell r="AD20">
            <v>0.22450821494476975</v>
          </cell>
          <cell r="AE20">
            <v>7.4227948163181345</v>
          </cell>
        </row>
        <row r="21">
          <cell r="G21">
            <v>18</v>
          </cell>
          <cell r="H21">
            <v>0.76933512873067511</v>
          </cell>
          <cell r="I21">
            <v>0.88383943802032749</v>
          </cell>
          <cell r="J21">
            <v>1.0806384675056511</v>
          </cell>
          <cell r="K21">
            <v>0.5252548979553181</v>
          </cell>
          <cell r="L21">
            <v>1.2776126377086174</v>
          </cell>
          <cell r="M21">
            <v>0.87658223025213278</v>
          </cell>
          <cell r="N21">
            <v>0.92728614038362411</v>
          </cell>
          <cell r="O21">
            <v>0.84017425771474519</v>
          </cell>
          <cell r="P21">
            <v>0.74912947135059049</v>
          </cell>
          <cell r="Q21">
            <v>1.0566016004222234</v>
          </cell>
          <cell r="AB21">
            <v>2022</v>
          </cell>
          <cell r="AC21">
            <v>18</v>
          </cell>
          <cell r="AD21">
            <v>0.24180916926494087</v>
          </cell>
          <cell r="AE21">
            <v>7.7353277469195625</v>
          </cell>
        </row>
        <row r="22">
          <cell r="G22">
            <v>19</v>
          </cell>
          <cell r="H22">
            <v>0.80630235774768166</v>
          </cell>
          <cell r="I22">
            <v>0.9263344708656055</v>
          </cell>
          <cell r="J22">
            <v>1.1322554524303556</v>
          </cell>
          <cell r="K22">
            <v>0.55065278334417678</v>
          </cell>
          <cell r="L22">
            <v>1.3406895421812062</v>
          </cell>
          <cell r="M22">
            <v>0.91850294828933798</v>
          </cell>
          <cell r="N22">
            <v>0.97114802947678136</v>
          </cell>
          <cell r="O22">
            <v>0.87981314923595721</v>
          </cell>
          <cell r="P22">
            <v>0.78453633667686185</v>
          </cell>
          <cell r="Q22">
            <v>1.1083003776177338</v>
          </cell>
          <cell r="AB22">
            <v>2023</v>
          </cell>
          <cell r="AC22">
            <v>19</v>
          </cell>
          <cell r="AD22">
            <v>0.26705751884615664</v>
          </cell>
          <cell r="AE22">
            <v>8.0404795050484612</v>
          </cell>
        </row>
        <row r="23">
          <cell r="G23">
            <v>20</v>
          </cell>
          <cell r="H23">
            <v>0.84326958676468822</v>
          </cell>
          <cell r="I23">
            <v>0.96882950371088328</v>
          </cell>
          <cell r="J23">
            <v>1.1838724373550606</v>
          </cell>
          <cell r="K23">
            <v>0.57605066873303534</v>
          </cell>
          <cell r="L23">
            <v>1.4037664466537945</v>
          </cell>
          <cell r="M23">
            <v>0.96042366632654363</v>
          </cell>
          <cell r="N23">
            <v>1.0150099185699391</v>
          </cell>
          <cell r="O23">
            <v>0.91945204075716958</v>
          </cell>
          <cell r="P23">
            <v>0.81994320200313342</v>
          </cell>
          <cell r="Q23">
            <v>1.1599991548132442</v>
          </cell>
          <cell r="AB23">
            <v>2024</v>
          </cell>
          <cell r="AC23">
            <v>20</v>
          </cell>
          <cell r="AD23">
            <v>0.29157047960461852</v>
          </cell>
          <cell r="AE23">
            <v>8.3384263012294646</v>
          </cell>
        </row>
        <row r="24">
          <cell r="G24">
            <v>21</v>
          </cell>
          <cell r="H24">
            <v>0.87018472416634374</v>
          </cell>
          <cell r="I24">
            <v>0.99922016042084216</v>
          </cell>
          <cell r="J24">
            <v>1.223325280641723</v>
          </cell>
          <cell r="K24">
            <v>0.59546005345112241</v>
          </cell>
          <cell r="L24">
            <v>1.4474725209441246</v>
          </cell>
          <cell r="M24">
            <v>0.99106243256974846</v>
          </cell>
          <cell r="N24">
            <v>1.0477460661980871</v>
          </cell>
          <cell r="O24">
            <v>0.94926321641552669</v>
          </cell>
          <cell r="P24">
            <v>0.84635832491260798</v>
          </cell>
          <cell r="Q24">
            <v>1.195026692773532</v>
          </cell>
          <cell r="AB24">
            <v>2025</v>
          </cell>
          <cell r="AC24">
            <v>21</v>
          </cell>
          <cell r="AD24">
            <v>0.33753462453919891</v>
          </cell>
          <cell r="AE24">
            <v>8.629340086896244</v>
          </cell>
        </row>
        <row r="25">
          <cell r="G25">
            <v>22</v>
          </cell>
          <cell r="H25">
            <v>0.89709986156799926</v>
          </cell>
          <cell r="I25">
            <v>1.0296108171308009</v>
          </cell>
          <cell r="J25">
            <v>1.2627781239283853</v>
          </cell>
          <cell r="K25">
            <v>0.61486943816920947</v>
          </cell>
          <cell r="L25">
            <v>1.4911785952344547</v>
          </cell>
          <cell r="M25">
            <v>1.0217011988129532</v>
          </cell>
          <cell r="N25">
            <v>1.0804822138262351</v>
          </cell>
          <cell r="O25">
            <v>0.9790743920738838</v>
          </cell>
          <cell r="P25">
            <v>0.87277344782208255</v>
          </cell>
          <cell r="Q25">
            <v>1.2300542307338198</v>
          </cell>
          <cell r="AB25">
            <v>2026</v>
          </cell>
          <cell r="AC25">
            <v>22</v>
          </cell>
          <cell r="AD25">
            <v>0.38216000797083033</v>
          </cell>
          <cell r="AE25">
            <v>8.9133463330074143</v>
          </cell>
        </row>
        <row r="26">
          <cell r="G26">
            <v>23</v>
          </cell>
          <cell r="H26">
            <v>0.92401499896965478</v>
          </cell>
          <cell r="I26">
            <v>1.0600014738407597</v>
          </cell>
          <cell r="J26">
            <v>1.3022309672150476</v>
          </cell>
          <cell r="K26">
            <v>0.63427882288729653</v>
          </cell>
          <cell r="L26">
            <v>1.5348846695247849</v>
          </cell>
          <cell r="M26">
            <v>1.052339965056158</v>
          </cell>
          <cell r="N26">
            <v>1.1132183614543831</v>
          </cell>
          <cell r="O26">
            <v>1.008885567732241</v>
          </cell>
          <cell r="P26">
            <v>0.89918857073155711</v>
          </cell>
          <cell r="Q26">
            <v>1.2650817686941076</v>
          </cell>
          <cell r="AB26">
            <v>2027</v>
          </cell>
          <cell r="AC26">
            <v>23</v>
          </cell>
          <cell r="AD26">
            <v>0.43307905819658699</v>
          </cell>
          <cell r="AE26">
            <v>9.1906006277781138</v>
          </cell>
        </row>
        <row r="27">
          <cell r="G27">
            <v>24</v>
          </cell>
          <cell r="H27">
            <v>0.9509301363713103</v>
          </cell>
          <cell r="I27">
            <v>1.0903921305507185</v>
          </cell>
          <cell r="J27">
            <v>1.3416838105017099</v>
          </cell>
          <cell r="K27">
            <v>0.6536882076053836</v>
          </cell>
          <cell r="L27">
            <v>1.578590743815115</v>
          </cell>
          <cell r="M27">
            <v>1.0829787312993628</v>
          </cell>
          <cell r="N27">
            <v>1.1459545090825312</v>
          </cell>
          <cell r="O27">
            <v>1.0386967433905983</v>
          </cell>
          <cell r="P27">
            <v>0.92560369364103168</v>
          </cell>
          <cell r="Q27">
            <v>1.3001093066543954</v>
          </cell>
          <cell r="AB27">
            <v>2028</v>
          </cell>
          <cell r="AC27">
            <v>24</v>
          </cell>
          <cell r="AD27">
            <v>0.48251502928955464</v>
          </cell>
          <cell r="AE27">
            <v>9.4612553559489747</v>
          </cell>
        </row>
        <row r="28">
          <cell r="G28">
            <v>25</v>
          </cell>
          <cell r="H28">
            <v>0.97784527377296582</v>
          </cell>
          <cell r="I28">
            <v>1.1207827872606773</v>
          </cell>
          <cell r="J28">
            <v>1.3811366537883722</v>
          </cell>
          <cell r="K28">
            <v>0.67309759232347066</v>
          </cell>
          <cell r="L28">
            <v>1.6222968181054451</v>
          </cell>
          <cell r="M28">
            <v>1.1136174975425677</v>
          </cell>
          <cell r="N28">
            <v>1.1786906567106792</v>
          </cell>
          <cell r="O28">
            <v>1.0685079190489555</v>
          </cell>
          <cell r="P28">
            <v>0.95201881655050624</v>
          </cell>
          <cell r="Q28">
            <v>1.3351368446146832</v>
          </cell>
          <cell r="AB28">
            <v>2029</v>
          </cell>
          <cell r="AC28">
            <v>25</v>
          </cell>
          <cell r="AD28">
            <v>0.52335357673244887</v>
          </cell>
          <cell r="AE28">
            <v>9.7254597534051701</v>
          </cell>
        </row>
        <row r="29">
          <cell r="G29">
            <v>26</v>
          </cell>
          <cell r="H29">
            <v>1.0047604111746213</v>
          </cell>
          <cell r="I29">
            <v>1.151173443970636</v>
          </cell>
          <cell r="J29">
            <v>1.4205894970750346</v>
          </cell>
          <cell r="K29">
            <v>0.69250697704155773</v>
          </cell>
          <cell r="L29">
            <v>1.6660028923957753</v>
          </cell>
          <cell r="M29">
            <v>1.1442562637857725</v>
          </cell>
          <cell r="N29">
            <v>1.2114268043388272</v>
          </cell>
          <cell r="O29">
            <v>1.0983190947073127</v>
          </cell>
          <cell r="P29">
            <v>0.97843393945998081</v>
          </cell>
          <cell r="Q29">
            <v>1.370164382574971</v>
          </cell>
          <cell r="AB29">
            <v>2030</v>
          </cell>
          <cell r="AC29">
            <v>26</v>
          </cell>
          <cell r="AD29">
            <v>0.56300265191972465</v>
          </cell>
          <cell r="AE29">
            <v>9.9833599613313648</v>
          </cell>
        </row>
        <row r="30">
          <cell r="G30">
            <v>27</v>
          </cell>
          <cell r="H30">
            <v>1.031675548576277</v>
          </cell>
          <cell r="I30">
            <v>1.1815641006805948</v>
          </cell>
          <cell r="J30">
            <v>1.4600423403616969</v>
          </cell>
          <cell r="K30">
            <v>0.71191636175964479</v>
          </cell>
          <cell r="L30">
            <v>1.7097089666861054</v>
          </cell>
          <cell r="M30">
            <v>1.1748950300289773</v>
          </cell>
          <cell r="N30">
            <v>1.2441629519669752</v>
          </cell>
          <cell r="O30">
            <v>1.1281302703656699</v>
          </cell>
          <cell r="P30">
            <v>1.0048490623694555</v>
          </cell>
          <cell r="Q30">
            <v>1.4051919205352588</v>
          </cell>
          <cell r="AB30">
            <v>2031</v>
          </cell>
          <cell r="AC30">
            <v>27</v>
          </cell>
          <cell r="AD30">
            <v>0.57528187053148494</v>
          </cell>
          <cell r="AE30">
            <v>10.235099079883316</v>
          </cell>
        </row>
        <row r="31">
          <cell r="G31">
            <v>28</v>
          </cell>
          <cell r="H31">
            <v>1.0585906859779326</v>
          </cell>
          <cell r="I31">
            <v>1.2119547573905536</v>
          </cell>
          <cell r="J31">
            <v>1.4994951836483592</v>
          </cell>
          <cell r="K31">
            <v>0.73132574647773185</v>
          </cell>
          <cell r="L31">
            <v>1.7534150409764355</v>
          </cell>
          <cell r="M31">
            <v>1.2055337962721822</v>
          </cell>
          <cell r="N31">
            <v>1.2768990995951233</v>
          </cell>
          <cell r="O31">
            <v>1.1579414460240272</v>
          </cell>
          <cell r="P31">
            <v>1.0312641852789302</v>
          </cell>
          <cell r="Q31">
            <v>1.4402194584955466</v>
          </cell>
          <cell r="AB31">
            <v>2032</v>
          </cell>
          <cell r="AC31">
            <v>28</v>
          </cell>
          <cell r="AD31">
            <v>0.61920509054872108</v>
          </cell>
          <cell r="AE31">
            <v>10.480817221358313</v>
          </cell>
        </row>
        <row r="32">
          <cell r="G32">
            <v>29</v>
          </cell>
          <cell r="H32">
            <v>1.0855058233795882</v>
          </cell>
          <cell r="I32">
            <v>1.2423454141005124</v>
          </cell>
          <cell r="J32">
            <v>1.5389480269350215</v>
          </cell>
          <cell r="K32">
            <v>0.75073513119581892</v>
          </cell>
          <cell r="L32">
            <v>1.7971211152667657</v>
          </cell>
          <cell r="M32">
            <v>1.236172562515387</v>
          </cell>
          <cell r="N32">
            <v>1.3096352472232713</v>
          </cell>
          <cell r="O32">
            <v>1.1877526216823844</v>
          </cell>
          <cell r="P32">
            <v>1.0576793081884048</v>
          </cell>
          <cell r="Q32">
            <v>1.4752469964558343</v>
          </cell>
          <cell r="AB32">
            <v>2033</v>
          </cell>
          <cell r="AC32">
            <v>29</v>
          </cell>
          <cell r="AD32">
            <v>0.66184899347807657</v>
          </cell>
          <cell r="AE32">
            <v>10.720651562848129</v>
          </cell>
        </row>
        <row r="33">
          <cell r="G33">
            <v>30</v>
          </cell>
          <cell r="H33">
            <v>1.1124209607812439</v>
          </cell>
          <cell r="I33">
            <v>1.2727360708104718</v>
          </cell>
          <cell r="J33">
            <v>1.5784008702216847</v>
          </cell>
          <cell r="K33">
            <v>0.77014451591390631</v>
          </cell>
          <cell r="L33">
            <v>1.8408271895570962</v>
          </cell>
          <cell r="M33">
            <v>1.2668113287585916</v>
          </cell>
          <cell r="N33">
            <v>1.34237139485142</v>
          </cell>
          <cell r="O33">
            <v>1.2175637973407409</v>
          </cell>
          <cell r="P33">
            <v>1.0840944310978795</v>
          </cell>
          <cell r="Q33">
            <v>1.5102745344161215</v>
          </cell>
          <cell r="AB33">
            <v>2034</v>
          </cell>
          <cell r="AC33">
            <v>30</v>
          </cell>
          <cell r="AD33">
            <v>0.70325084098230517</v>
          </cell>
          <cell r="AE33">
            <v>10.957323046522811</v>
          </cell>
        </row>
        <row r="34">
          <cell r="G34">
            <v>31</v>
          </cell>
          <cell r="H34">
            <v>1.1324483515795338</v>
          </cell>
          <cell r="I34">
            <v>1.2953495737533849</v>
          </cell>
          <cell r="J34">
            <v>1.6077574893717592</v>
          </cell>
          <cell r="K34">
            <v>0.78458692073467906</v>
          </cell>
          <cell r="L34">
            <v>1.8733486111478757</v>
          </cell>
          <cell r="M34">
            <v>1.2896094479650766</v>
          </cell>
          <cell r="N34">
            <v>1.3667301731857737</v>
          </cell>
          <cell r="O34">
            <v>1.2397461105342309</v>
          </cell>
          <cell r="P34">
            <v>1.1037497627446347</v>
          </cell>
          <cell r="Q34">
            <v>1.5363383127705348</v>
          </cell>
          <cell r="AB34">
            <v>2035</v>
          </cell>
          <cell r="AC34">
            <v>31</v>
          </cell>
          <cell r="AD34">
            <v>0.74344680943301256</v>
          </cell>
          <cell r="AE34">
            <v>11.188759448703577</v>
          </cell>
        </row>
        <row r="35">
          <cell r="G35">
            <v>32</v>
          </cell>
          <cell r="H35">
            <v>1.1524757423778238</v>
          </cell>
          <cell r="I35">
            <v>1.317963076696298</v>
          </cell>
          <cell r="J35">
            <v>1.6371141085218337</v>
          </cell>
          <cell r="K35">
            <v>0.79902932555545181</v>
          </cell>
          <cell r="L35">
            <v>1.9058700327386551</v>
          </cell>
          <cell r="M35">
            <v>1.3124075671715616</v>
          </cell>
          <cell r="N35">
            <v>1.3910889515201275</v>
          </cell>
          <cell r="O35">
            <v>1.2619284237277208</v>
          </cell>
          <cell r="P35">
            <v>1.1234050943913898</v>
          </cell>
          <cell r="Q35">
            <v>1.5624020911249481</v>
          </cell>
          <cell r="AB35">
            <v>2036</v>
          </cell>
          <cell r="AC35">
            <v>32</v>
          </cell>
          <cell r="AD35">
            <v>0.78247202152107798</v>
          </cell>
          <cell r="AE35">
            <v>11.415116950697461</v>
          </cell>
        </row>
        <row r="36">
          <cell r="G36">
            <v>33</v>
          </cell>
          <cell r="H36">
            <v>1.1725031331761138</v>
          </cell>
          <cell r="I36">
            <v>1.3405765796392111</v>
          </cell>
          <cell r="J36">
            <v>1.6664707276719082</v>
          </cell>
          <cell r="K36">
            <v>0.81347173037622456</v>
          </cell>
          <cell r="L36">
            <v>1.9383914543294345</v>
          </cell>
          <cell r="M36">
            <v>1.3352056863780466</v>
          </cell>
          <cell r="N36">
            <v>1.4154477298544812</v>
          </cell>
          <cell r="O36">
            <v>1.2841107369212108</v>
          </cell>
          <cell r="P36">
            <v>1.1430604260381449</v>
          </cell>
          <cell r="Q36">
            <v>1.5884658694793614</v>
          </cell>
          <cell r="AB36">
            <v>2037</v>
          </cell>
          <cell r="AC36">
            <v>33</v>
          </cell>
          <cell r="AD36">
            <v>0.8203605769463842</v>
          </cell>
          <cell r="AE36">
            <v>11.636545562356241</v>
          </cell>
        </row>
        <row r="37">
          <cell r="G37">
            <v>34</v>
          </cell>
          <cell r="H37">
            <v>1.1925305239744037</v>
          </cell>
          <cell r="I37">
            <v>1.3631900825821242</v>
          </cell>
          <cell r="J37">
            <v>1.6958273468219827</v>
          </cell>
          <cell r="K37">
            <v>0.8279141351969973</v>
          </cell>
          <cell r="L37">
            <v>1.9709128759202139</v>
          </cell>
          <cell r="M37">
            <v>1.3580038055845316</v>
          </cell>
          <cell r="N37">
            <v>1.4398065081888349</v>
          </cell>
          <cell r="O37">
            <v>1.3062930501147008</v>
          </cell>
          <cell r="P37">
            <v>1.1627157576849001</v>
          </cell>
          <cell r="Q37">
            <v>1.6145296478337747</v>
          </cell>
          <cell r="AB37">
            <v>2038</v>
          </cell>
          <cell r="AC37">
            <v>34</v>
          </cell>
          <cell r="AD37">
            <v>0.85714558221367176</v>
          </cell>
          <cell r="AE37">
            <v>11.853189393199679</v>
          </cell>
        </row>
        <row r="38">
          <cell r="G38">
            <v>35</v>
          </cell>
          <cell r="H38">
            <v>1.2125579147726937</v>
          </cell>
          <cell r="I38">
            <v>1.3858035855250372</v>
          </cell>
          <cell r="J38">
            <v>1.7251839659720571</v>
          </cell>
          <cell r="K38">
            <v>0.84235654001777005</v>
          </cell>
          <cell r="L38">
            <v>2.0034342975109936</v>
          </cell>
          <cell r="M38">
            <v>1.3808019247910166</v>
          </cell>
          <cell r="N38">
            <v>1.4641652865231887</v>
          </cell>
          <cell r="O38">
            <v>1.3284753633081907</v>
          </cell>
          <cell r="P38">
            <v>1.1823710893316552</v>
          </cell>
          <cell r="Q38">
            <v>1.640593426188188</v>
          </cell>
          <cell r="AB38">
            <v>2039</v>
          </cell>
          <cell r="AC38">
            <v>35</v>
          </cell>
          <cell r="AD38">
            <v>0.89285917956055294</v>
          </cell>
          <cell r="AE38">
            <v>12.065186911695758</v>
          </cell>
        </row>
        <row r="39">
          <cell r="G39">
            <v>36</v>
          </cell>
          <cell r="H39">
            <v>1.2325853055709837</v>
          </cell>
          <cell r="I39">
            <v>1.4084170884679503</v>
          </cell>
          <cell r="J39">
            <v>1.7545405851221316</v>
          </cell>
          <cell r="K39">
            <v>0.8567989448385428</v>
          </cell>
          <cell r="L39">
            <v>2.0359557191017732</v>
          </cell>
          <cell r="M39">
            <v>1.4036000439975016</v>
          </cell>
          <cell r="N39">
            <v>1.4885240648575424</v>
          </cell>
          <cell r="O39">
            <v>1.3506576765016807</v>
          </cell>
          <cell r="P39">
            <v>1.2020264209784104</v>
          </cell>
          <cell r="Q39">
            <v>1.6666572045426014</v>
          </cell>
          <cell r="AB39">
            <v>2040</v>
          </cell>
          <cell r="AC39">
            <v>36</v>
          </cell>
          <cell r="AD39">
            <v>0.92753257504296183</v>
          </cell>
          <cell r="AE39">
            <v>12.272671193195185</v>
          </cell>
        </row>
        <row r="40">
          <cell r="G40">
            <v>37</v>
          </cell>
          <cell r="H40">
            <v>1.2526126963692736</v>
          </cell>
          <cell r="I40">
            <v>1.4310305914108634</v>
          </cell>
          <cell r="J40">
            <v>1.7838972042722061</v>
          </cell>
          <cell r="K40">
            <v>0.87124134965931554</v>
          </cell>
          <cell r="L40">
            <v>2.0684771406925528</v>
          </cell>
          <cell r="M40">
            <v>1.4263981632039866</v>
          </cell>
          <cell r="N40">
            <v>1.5128828431918961</v>
          </cell>
          <cell r="O40">
            <v>1.3728399896951706</v>
          </cell>
          <cell r="P40">
            <v>1.2216817526251655</v>
          </cell>
          <cell r="Q40">
            <v>1.6927209828970147</v>
          </cell>
          <cell r="AB40">
            <v>2041</v>
          </cell>
          <cell r="AC40">
            <v>37</v>
          </cell>
          <cell r="AD40">
            <v>0.9611960658025821</v>
          </cell>
          <cell r="AE40">
            <v>12.475770156997472</v>
          </cell>
        </row>
        <row r="41">
          <cell r="G41">
            <v>38</v>
          </cell>
          <cell r="H41">
            <v>1.2726400871675636</v>
          </cell>
          <cell r="I41">
            <v>1.4536440943537765</v>
          </cell>
          <cell r="J41">
            <v>1.8132538234222806</v>
          </cell>
          <cell r="K41">
            <v>0.88568375448008829</v>
          </cell>
          <cell r="L41">
            <v>2.1009985622833325</v>
          </cell>
          <cell r="M41">
            <v>1.4491962824104716</v>
          </cell>
          <cell r="N41">
            <v>1.5372416215262499</v>
          </cell>
          <cell r="O41">
            <v>1.3950223028886606</v>
          </cell>
          <cell r="P41">
            <v>1.2413370842719207</v>
          </cell>
          <cell r="Q41">
            <v>1.718784761251428</v>
          </cell>
          <cell r="AB41">
            <v>2042</v>
          </cell>
          <cell r="AC41">
            <v>38</v>
          </cell>
          <cell r="AD41">
            <v>0.99387906654007763</v>
          </cell>
          <cell r="AE41">
            <v>12.674606793006642</v>
          </cell>
        </row>
        <row r="42">
          <cell r="G42">
            <v>39</v>
          </cell>
          <cell r="H42">
            <v>1.2926674779658536</v>
          </cell>
          <cell r="I42">
            <v>1.4762575972966896</v>
          </cell>
          <cell r="J42">
            <v>1.8426104425723551</v>
          </cell>
          <cell r="K42">
            <v>0.90012615930086104</v>
          </cell>
          <cell r="L42">
            <v>2.1335199838741121</v>
          </cell>
          <cell r="M42">
            <v>1.4719944016169566</v>
          </cell>
          <cell r="N42">
            <v>1.5616003998606036</v>
          </cell>
          <cell r="O42">
            <v>1.4172046160821505</v>
          </cell>
          <cell r="P42">
            <v>1.2609924159186758</v>
          </cell>
          <cell r="Q42">
            <v>1.7448485396058413</v>
          </cell>
          <cell r="AB42">
            <v>2043</v>
          </cell>
          <cell r="AC42">
            <v>39</v>
          </cell>
          <cell r="AD42">
            <v>1.0256101352172577</v>
          </cell>
          <cell r="AE42">
            <v>12.86929937841612</v>
          </cell>
        </row>
        <row r="43">
          <cell r="G43">
            <v>40</v>
          </cell>
          <cell r="H43">
            <v>1.3126948687641427</v>
          </cell>
          <cell r="I43">
            <v>1.4988711002396033</v>
          </cell>
          <cell r="J43">
            <v>1.8719670617224289</v>
          </cell>
          <cell r="K43">
            <v>0.91456856412163356</v>
          </cell>
          <cell r="L43">
            <v>2.1660414054648909</v>
          </cell>
          <cell r="M43">
            <v>1.4947925208234418</v>
          </cell>
          <cell r="N43">
            <v>1.5859591781949585</v>
          </cell>
          <cell r="O43">
            <v>1.43938692927564</v>
          </cell>
          <cell r="P43">
            <v>1.2806477475654321</v>
          </cell>
          <cell r="Q43">
            <v>1.7709123179602548</v>
          </cell>
          <cell r="AB43">
            <v>2044</v>
          </cell>
          <cell r="AC43">
            <v>40</v>
          </cell>
          <cell r="AD43">
            <v>1.0564169980106364</v>
          </cell>
          <cell r="AE43">
            <v>13.059961684844618</v>
          </cell>
        </row>
        <row r="44">
          <cell r="G44">
            <v>41</v>
          </cell>
          <cell r="H44">
            <v>1.3275971284540824</v>
          </cell>
          <cell r="I44">
            <v>1.5156976717964192</v>
          </cell>
          <cell r="J44">
            <v>1.8938111450643094</v>
          </cell>
          <cell r="K44">
            <v>0.92531506944517217</v>
          </cell>
          <cell r="L44">
            <v>2.1902404025704518</v>
          </cell>
          <cell r="M44">
            <v>1.5117564636626757</v>
          </cell>
          <cell r="N44">
            <v>1.6040843889707095</v>
          </cell>
          <cell r="O44">
            <v>1.4558926568319039</v>
          </cell>
          <cell r="P44">
            <v>1.2952731603289684</v>
          </cell>
          <cell r="Q44">
            <v>1.7903062170109147</v>
          </cell>
          <cell r="AB44">
            <v>2045</v>
          </cell>
          <cell r="AC44">
            <v>41</v>
          </cell>
          <cell r="AD44">
            <v>1.0863265735381884</v>
          </cell>
          <cell r="AE44">
            <v>13.246703176327733</v>
          </cell>
        </row>
        <row r="45">
          <cell r="G45">
            <v>42</v>
          </cell>
          <cell r="H45">
            <v>1.3424993881440221</v>
          </cell>
          <cell r="I45">
            <v>1.5325242433532351</v>
          </cell>
          <cell r="J45">
            <v>1.9156552284061898</v>
          </cell>
          <cell r="K45">
            <v>0.93606157476871077</v>
          </cell>
          <cell r="L45">
            <v>2.2144393996760128</v>
          </cell>
          <cell r="M45">
            <v>1.5287204065019095</v>
          </cell>
          <cell r="N45">
            <v>1.6222095997464605</v>
          </cell>
          <cell r="O45">
            <v>1.4723983843881678</v>
          </cell>
          <cell r="P45">
            <v>1.3098985730925048</v>
          </cell>
          <cell r="Q45">
            <v>1.8097001160615747</v>
          </cell>
          <cell r="AB45">
            <v>2046</v>
          </cell>
          <cell r="AC45">
            <v>42</v>
          </cell>
          <cell r="AD45">
            <v>1.1153649963804719</v>
          </cell>
          <cell r="AE45">
            <v>13.429629198553531</v>
          </cell>
        </row>
        <row r="46">
          <cell r="G46">
            <v>43</v>
          </cell>
          <cell r="H46">
            <v>1.3574016478339619</v>
          </cell>
          <cell r="I46">
            <v>1.549350814910051</v>
          </cell>
          <cell r="J46">
            <v>1.9374993117480703</v>
          </cell>
          <cell r="K46">
            <v>0.94680808009224937</v>
          </cell>
          <cell r="L46">
            <v>2.2386383967815737</v>
          </cell>
          <cell r="M46">
            <v>1.5456843493411434</v>
          </cell>
          <cell r="N46">
            <v>1.6403348105222115</v>
          </cell>
          <cell r="O46">
            <v>1.4889041119444317</v>
          </cell>
          <cell r="P46">
            <v>1.3245239858560411</v>
          </cell>
          <cell r="Q46">
            <v>1.8290940151122346</v>
          </cell>
          <cell r="AB46">
            <v>2047</v>
          </cell>
          <cell r="AC46">
            <v>43</v>
          </cell>
          <cell r="AD46">
            <v>1.1435576399166696</v>
          </cell>
          <cell r="AE46">
            <v>13.608841159714657</v>
          </cell>
        </row>
        <row r="47">
          <cell r="G47">
            <v>44</v>
          </cell>
          <cell r="H47">
            <v>1.3723039075239016</v>
          </cell>
          <cell r="I47">
            <v>1.5661773864668669</v>
          </cell>
          <cell r="J47">
            <v>1.9593433950899508</v>
          </cell>
          <cell r="K47">
            <v>0.95755458541578797</v>
          </cell>
          <cell r="L47">
            <v>2.2628373938871347</v>
          </cell>
          <cell r="M47">
            <v>1.5626482921803773</v>
          </cell>
          <cell r="N47">
            <v>1.6584600212979625</v>
          </cell>
          <cell r="O47">
            <v>1.5054098395006956</v>
          </cell>
          <cell r="P47">
            <v>1.3391493986195775</v>
          </cell>
          <cell r="Q47">
            <v>1.8484879141628945</v>
          </cell>
          <cell r="AB47">
            <v>2048</v>
          </cell>
          <cell r="AC47">
            <v>44</v>
          </cell>
          <cell r="AD47">
            <v>1.1709291384955023</v>
          </cell>
          <cell r="AE47">
            <v>13.784436703334352</v>
          </cell>
        </row>
        <row r="48">
          <cell r="G48">
            <v>45</v>
          </cell>
          <cell r="H48">
            <v>1.3872061672138414</v>
          </cell>
          <cell r="I48">
            <v>1.5830039580236828</v>
          </cell>
          <cell r="J48">
            <v>1.9811874784318313</v>
          </cell>
          <cell r="K48">
            <v>0.96830109073932658</v>
          </cell>
          <cell r="L48">
            <v>2.2870363909926956</v>
          </cell>
          <cell r="M48">
            <v>1.5796122350196111</v>
          </cell>
          <cell r="N48">
            <v>1.6765852320737136</v>
          </cell>
          <cell r="O48">
            <v>1.5219155670569595</v>
          </cell>
          <cell r="P48">
            <v>1.3537748113831138</v>
          </cell>
          <cell r="Q48">
            <v>1.8678818132135544</v>
          </cell>
          <cell r="AB48">
            <v>2049</v>
          </cell>
          <cell r="AC48">
            <v>45</v>
          </cell>
          <cell r="AD48">
            <v>1.1975034089603884</v>
          </cell>
          <cell r="AE48">
            <v>13.95650987340915</v>
          </cell>
        </row>
        <row r="49">
          <cell r="G49">
            <v>46</v>
          </cell>
          <cell r="H49">
            <v>1.4021084269037811</v>
          </cell>
          <cell r="I49">
            <v>1.5998305295804987</v>
          </cell>
          <cell r="J49">
            <v>2.0030315617737116</v>
          </cell>
          <cell r="K49">
            <v>0.97904759606286518</v>
          </cell>
          <cell r="L49">
            <v>2.3112353880982566</v>
          </cell>
          <cell r="M49">
            <v>1.596576177858845</v>
          </cell>
          <cell r="N49">
            <v>1.6947104428494646</v>
          </cell>
          <cell r="O49">
            <v>1.5384212946132234</v>
          </cell>
          <cell r="P49">
            <v>1.3684002241466502</v>
          </cell>
          <cell r="Q49">
            <v>1.8872757122642143</v>
          </cell>
          <cell r="AB49">
            <v>2050</v>
          </cell>
          <cell r="AC49">
            <v>46</v>
          </cell>
          <cell r="AD49">
            <v>1.2233036715476564</v>
          </cell>
          <cell r="AE49">
            <v>14.125151272197067</v>
          </cell>
        </row>
        <row r="50">
          <cell r="G50">
            <v>47</v>
          </cell>
          <cell r="H50">
            <v>1.4170106865937209</v>
          </cell>
          <cell r="I50">
            <v>1.6166571011373145</v>
          </cell>
          <cell r="J50">
            <v>2.0248756451155918</v>
          </cell>
          <cell r="K50">
            <v>0.98979410138640378</v>
          </cell>
          <cell r="L50">
            <v>2.3354343852038175</v>
          </cell>
          <cell r="M50">
            <v>1.6135401206980788</v>
          </cell>
          <cell r="N50">
            <v>1.7128356536252156</v>
          </cell>
          <cell r="O50">
            <v>1.5549270221694873</v>
          </cell>
          <cell r="P50">
            <v>1.3830256369101865</v>
          </cell>
          <cell r="Q50">
            <v>1.9066696113148742</v>
          </cell>
          <cell r="AB50">
            <v>2051</v>
          </cell>
          <cell r="AC50">
            <v>47</v>
          </cell>
          <cell r="AD50">
            <v>1.248352470176072</v>
          </cell>
          <cell r="AE50">
            <v>14.290448210966655</v>
          </cell>
        </row>
        <row r="51">
          <cell r="G51">
            <v>48</v>
          </cell>
          <cell r="H51">
            <v>1.4319129462836606</v>
          </cell>
          <cell r="I51">
            <v>1.6334836726941304</v>
          </cell>
          <cell r="J51">
            <v>2.0467197284574721</v>
          </cell>
          <cell r="K51">
            <v>1.0005406067099425</v>
          </cell>
          <cell r="L51">
            <v>2.3596333823093785</v>
          </cell>
          <cell r="M51">
            <v>1.6305040635373127</v>
          </cell>
          <cell r="N51">
            <v>1.7309608644009666</v>
          </cell>
          <cell r="O51">
            <v>1.5714327497257512</v>
          </cell>
          <cell r="P51">
            <v>1.3976510496737229</v>
          </cell>
          <cell r="Q51">
            <v>1.9260635103655341</v>
          </cell>
          <cell r="AB51">
            <v>2052</v>
          </cell>
          <cell r="AC51">
            <v>48</v>
          </cell>
          <cell r="AD51">
            <v>1.2726716921454075</v>
          </cell>
          <cell r="AE51">
            <v>14.45248485400934</v>
          </cell>
        </row>
        <row r="52">
          <cell r="G52">
            <v>49</v>
          </cell>
          <cell r="H52">
            <v>1.4468152059736004</v>
          </cell>
          <cell r="I52">
            <v>1.6503102442509463</v>
          </cell>
          <cell r="J52">
            <v>2.0685638117993523</v>
          </cell>
          <cell r="K52">
            <v>1.0112871120334812</v>
          </cell>
          <cell r="L52">
            <v>2.3838323794149394</v>
          </cell>
          <cell r="M52">
            <v>1.6474680063765466</v>
          </cell>
          <cell r="N52">
            <v>1.7490860751767177</v>
          </cell>
          <cell r="O52">
            <v>1.5879384772820151</v>
          </cell>
          <cell r="P52">
            <v>1.4122764624372592</v>
          </cell>
          <cell r="Q52">
            <v>1.9454574094161941</v>
          </cell>
          <cell r="AB52">
            <v>2053</v>
          </cell>
          <cell r="AC52">
            <v>49</v>
          </cell>
          <cell r="AD52">
            <v>1.2962825872612673</v>
          </cell>
          <cell r="AE52">
            <v>14.611342356205071</v>
          </cell>
        </row>
        <row r="53">
          <cell r="G53">
            <v>50</v>
          </cell>
          <cell r="H53">
            <v>1.4617174656635397</v>
          </cell>
          <cell r="I53">
            <v>1.6671368158077626</v>
          </cell>
          <cell r="J53">
            <v>2.090407895141233</v>
          </cell>
          <cell r="K53">
            <v>1.0220336173570197</v>
          </cell>
          <cell r="L53">
            <v>2.4080313765204981</v>
          </cell>
          <cell r="M53">
            <v>1.6644319492157797</v>
          </cell>
          <cell r="N53">
            <v>1.7672112859524687</v>
          </cell>
          <cell r="O53">
            <v>1.6044442048382794</v>
          </cell>
          <cell r="P53">
            <v>1.4269018752007956</v>
          </cell>
          <cell r="Q53">
            <v>1.9648513084668549</v>
          </cell>
          <cell r="AB53">
            <v>2054</v>
          </cell>
          <cell r="AC53">
            <v>50</v>
          </cell>
          <cell r="AD53">
            <v>1.3192057864028788</v>
          </cell>
          <cell r="AE53">
            <v>14.767098994419424</v>
          </cell>
        </row>
        <row r="54">
          <cell r="G54">
            <v>51</v>
          </cell>
          <cell r="H54">
            <v>1.4728061458109447</v>
          </cell>
          <cell r="I54">
            <v>1.6796573640695842</v>
          </cell>
          <cell r="J54">
            <v>2.1066619445384736</v>
          </cell>
          <cell r="K54">
            <v>1.0300300267741571</v>
          </cell>
          <cell r="L54">
            <v>2.4260376930721765</v>
          </cell>
          <cell r="M54">
            <v>1.6770547123335282</v>
          </cell>
          <cell r="N54">
            <v>1.7806981428778381</v>
          </cell>
          <cell r="O54">
            <v>1.616726013096955</v>
          </cell>
          <cell r="P54">
            <v>1.4377845550413613</v>
          </cell>
          <cell r="Q54">
            <v>1.9792821890333725</v>
          </cell>
          <cell r="AB54">
            <v>2055</v>
          </cell>
          <cell r="AC54">
            <v>51</v>
          </cell>
          <cell r="AD54">
            <v>1.3414613195500742</v>
          </cell>
          <cell r="AE54">
            <v>14.91983029299875</v>
          </cell>
        </row>
        <row r="55">
          <cell r="G55">
            <v>52</v>
          </cell>
          <cell r="H55">
            <v>1.4838948259583498</v>
          </cell>
          <cell r="I55">
            <v>1.6921779123314058</v>
          </cell>
          <cell r="J55">
            <v>2.1229159939357141</v>
          </cell>
          <cell r="K55">
            <v>1.0380264361912945</v>
          </cell>
          <cell r="L55">
            <v>2.4440440096238549</v>
          </cell>
          <cell r="M55">
            <v>1.6896774754512767</v>
          </cell>
          <cell r="N55">
            <v>1.7941849998032076</v>
          </cell>
          <cell r="O55">
            <v>1.6290078213556307</v>
          </cell>
          <cell r="P55">
            <v>1.4486672348819269</v>
          </cell>
          <cell r="Q55">
            <v>1.9937130695998901</v>
          </cell>
          <cell r="AB55">
            <v>2056</v>
          </cell>
          <cell r="AC55">
            <v>52</v>
          </cell>
          <cell r="AD55">
            <v>1.3630686332852155</v>
          </cell>
          <cell r="AE55">
            <v>15.069609143619083</v>
          </cell>
        </row>
        <row r="56">
          <cell r="G56">
            <v>53</v>
          </cell>
          <cell r="H56">
            <v>1.4949835061057548</v>
          </cell>
          <cell r="I56">
            <v>1.7046984605932274</v>
          </cell>
          <cell r="J56">
            <v>2.1391700433329546</v>
          </cell>
          <cell r="K56">
            <v>1.046022845608432</v>
          </cell>
          <cell r="L56">
            <v>2.4620503261755333</v>
          </cell>
          <cell r="M56">
            <v>1.7023002385690251</v>
          </cell>
          <cell r="N56">
            <v>1.807671856728577</v>
          </cell>
          <cell r="O56">
            <v>1.6412896296143065</v>
          </cell>
          <cell r="P56">
            <v>1.4595499147224926</v>
          </cell>
          <cell r="Q56">
            <v>2.0081439501664078</v>
          </cell>
          <cell r="AB56">
            <v>2057</v>
          </cell>
          <cell r="AC56">
            <v>53</v>
          </cell>
          <cell r="AD56">
            <v>1.3840466077853526</v>
          </cell>
          <cell r="AE56">
            <v>15.216505919733851</v>
          </cell>
        </row>
        <row r="57">
          <cell r="G57">
            <v>54</v>
          </cell>
          <cell r="H57">
            <v>1.5060721862531599</v>
          </cell>
          <cell r="I57">
            <v>1.717219008855049</v>
          </cell>
          <cell r="J57">
            <v>2.1554240927301951</v>
          </cell>
          <cell r="K57">
            <v>1.0540192550255694</v>
          </cell>
          <cell r="L57">
            <v>2.4800566427272117</v>
          </cell>
          <cell r="M57">
            <v>1.7149230016867736</v>
          </cell>
          <cell r="N57">
            <v>1.8211587136539464</v>
          </cell>
          <cell r="O57">
            <v>1.6535714378729822</v>
          </cell>
          <cell r="P57">
            <v>1.4704325945630583</v>
          </cell>
          <cell r="Q57">
            <v>2.0225748307329252</v>
          </cell>
          <cell r="AB57">
            <v>2058</v>
          </cell>
          <cell r="AC57">
            <v>54</v>
          </cell>
          <cell r="AD57">
            <v>1.4044135733194665</v>
          </cell>
          <cell r="AE57">
            <v>15.360588585855382</v>
          </cell>
        </row>
        <row r="58">
          <cell r="G58">
            <v>55</v>
          </cell>
          <cell r="H58">
            <v>1.5171608664005649</v>
          </cell>
          <cell r="I58">
            <v>1.7297395571168706</v>
          </cell>
          <cell r="J58">
            <v>2.1716781421274356</v>
          </cell>
          <cell r="K58">
            <v>1.0620156644427068</v>
          </cell>
          <cell r="L58">
            <v>2.4980629592788901</v>
          </cell>
          <cell r="M58">
            <v>1.727545764804522</v>
          </cell>
          <cell r="N58">
            <v>1.8346455705793159</v>
          </cell>
          <cell r="O58">
            <v>1.665853246131658</v>
          </cell>
          <cell r="P58">
            <v>1.481315274403624</v>
          </cell>
          <cell r="Q58">
            <v>2.0370057112994426</v>
          </cell>
          <cell r="AB58">
            <v>2059</v>
          </cell>
          <cell r="AC58">
            <v>55</v>
          </cell>
          <cell r="AD58">
            <v>1.4241873262652081</v>
          </cell>
          <cell r="AE58">
            <v>15.501922801895329</v>
          </cell>
        </row>
        <row r="59">
          <cell r="G59">
            <v>56</v>
          </cell>
          <cell r="H59">
            <v>1.52824954654797</v>
          </cell>
          <cell r="I59">
            <v>1.7422601053786921</v>
          </cell>
          <cell r="J59">
            <v>2.1879321915246761</v>
          </cell>
          <cell r="K59">
            <v>1.0700120738598442</v>
          </cell>
          <cell r="L59">
            <v>2.5160692758305685</v>
          </cell>
          <cell r="M59">
            <v>1.7401685279222705</v>
          </cell>
          <cell r="N59">
            <v>1.8481324275046853</v>
          </cell>
          <cell r="O59">
            <v>1.6781350543903337</v>
          </cell>
          <cell r="P59">
            <v>1.4921979542441897</v>
          </cell>
          <cell r="Q59">
            <v>2.0514365918659601</v>
          </cell>
          <cell r="AB59">
            <v>2060</v>
          </cell>
          <cell r="AC59">
            <v>56</v>
          </cell>
          <cell r="AD59">
            <v>1.4433851446591319</v>
          </cell>
          <cell r="AE59">
            <v>15.640572022779946</v>
          </cell>
        </row>
        <row r="60">
          <cell r="G60">
            <v>57</v>
          </cell>
          <cell r="H60">
            <v>1.539338226695375</v>
          </cell>
          <cell r="I60">
            <v>1.7547806536405137</v>
          </cell>
          <cell r="J60">
            <v>2.2041862409219166</v>
          </cell>
          <cell r="K60">
            <v>1.0780084832769816</v>
          </cell>
          <cell r="L60">
            <v>2.5340755923822469</v>
          </cell>
          <cell r="M60">
            <v>1.752791291040019</v>
          </cell>
          <cell r="N60">
            <v>1.8616192844300548</v>
          </cell>
          <cell r="O60">
            <v>1.6904168626490095</v>
          </cell>
          <cell r="P60">
            <v>1.5030806340847553</v>
          </cell>
          <cell r="Q60">
            <v>2.0658674724324775</v>
          </cell>
          <cell r="AB60">
            <v>2061</v>
          </cell>
          <cell r="AC60">
            <v>57</v>
          </cell>
          <cell r="AD60">
            <v>1.4620238032940094</v>
          </cell>
          <cell r="AE60">
            <v>15.776597593546995</v>
          </cell>
        </row>
        <row r="61">
          <cell r="G61">
            <v>58</v>
          </cell>
          <cell r="H61">
            <v>1.5504269068427801</v>
          </cell>
          <cell r="I61">
            <v>1.7673012019023353</v>
          </cell>
          <cell r="J61">
            <v>2.2204402903191571</v>
          </cell>
          <cell r="K61">
            <v>1.086004892694119</v>
          </cell>
          <cell r="L61">
            <v>2.5520819089339253</v>
          </cell>
          <cell r="M61">
            <v>1.7654140541577674</v>
          </cell>
          <cell r="N61">
            <v>1.8751061413554242</v>
          </cell>
          <cell r="O61">
            <v>1.7026986709076852</v>
          </cell>
          <cell r="P61">
            <v>1.513963313925321</v>
          </cell>
          <cell r="Q61">
            <v>2.0802983529989949</v>
          </cell>
          <cell r="AB61">
            <v>2062</v>
          </cell>
          <cell r="AC61">
            <v>58</v>
          </cell>
          <cell r="AD61">
            <v>1.4801195883764147</v>
          </cell>
          <cell r="AE61">
            <v>15.910058840122545</v>
          </cell>
        </row>
        <row r="62">
          <cell r="G62">
            <v>59</v>
          </cell>
          <cell r="H62">
            <v>1.5615155869901851</v>
          </cell>
          <cell r="I62">
            <v>1.7798217501641569</v>
          </cell>
          <cell r="J62">
            <v>2.2366943397163976</v>
          </cell>
          <cell r="K62">
            <v>1.0940013021112565</v>
          </cell>
          <cell r="L62">
            <v>2.5700882254856037</v>
          </cell>
          <cell r="M62">
            <v>1.7780368172755159</v>
          </cell>
          <cell r="N62">
            <v>1.8885929982807936</v>
          </cell>
          <cell r="O62">
            <v>1.714980479166361</v>
          </cell>
          <cell r="P62">
            <v>1.5248459937658867</v>
          </cell>
          <cell r="Q62">
            <v>2.0947292335655123</v>
          </cell>
          <cell r="AB62">
            <v>2063</v>
          </cell>
          <cell r="AC62">
            <v>59</v>
          </cell>
          <cell r="AD62">
            <v>1.4976883117573907</v>
          </cell>
          <cell r="AE62">
            <v>16.041013155967622</v>
          </cell>
        </row>
        <row r="63">
          <cell r="G63">
            <v>60</v>
          </cell>
          <cell r="H63">
            <v>1.5726042671375908</v>
          </cell>
          <cell r="I63">
            <v>1.7923422984259791</v>
          </cell>
          <cell r="J63">
            <v>2.2529483891136377</v>
          </cell>
          <cell r="K63">
            <v>1.101997711528393</v>
          </cell>
          <cell r="L63">
            <v>2.5880945420372816</v>
          </cell>
          <cell r="M63">
            <v>1.7906595803932654</v>
          </cell>
          <cell r="N63">
            <v>1.9020798552061629</v>
          </cell>
          <cell r="O63">
            <v>1.7272622874250358</v>
          </cell>
          <cell r="P63">
            <v>1.5357286736064515</v>
          </cell>
          <cell r="Q63">
            <v>2.1091601141320306</v>
          </cell>
          <cell r="AB63">
            <v>2064</v>
          </cell>
          <cell r="AC63">
            <v>60</v>
          </cell>
          <cell r="AD63">
            <v>1.5147453247486296</v>
          </cell>
          <cell r="AE63">
            <v>16.169516084776674</v>
          </cell>
        </row>
        <row r="64">
          <cell r="G64">
            <v>61</v>
          </cell>
          <cell r="H64">
            <v>1.580855287566709</v>
          </cell>
          <cell r="I64">
            <v>1.8016587614695805</v>
          </cell>
          <cell r="J64">
            <v>2.2650429269098589</v>
          </cell>
          <cell r="K64">
            <v>1.1079477908328321</v>
          </cell>
          <cell r="L64">
            <v>2.6014929345410573</v>
          </cell>
          <cell r="M64">
            <v>1.800052103715017</v>
          </cell>
          <cell r="N64">
            <v>1.9121153458220792</v>
          </cell>
          <cell r="O64">
            <v>1.7364011118980802</v>
          </cell>
          <cell r="P64">
            <v>1.5438264119137151</v>
          </cell>
          <cell r="Q64">
            <v>2.1198980468024176</v>
          </cell>
          <cell r="AB64">
            <v>2065</v>
          </cell>
          <cell r="AC64">
            <v>61</v>
          </cell>
          <cell r="AD64">
            <v>1.53130553153624</v>
          </cell>
          <cell r="AE64">
            <v>16.295621399402215</v>
          </cell>
        </row>
        <row r="65">
          <cell r="G65">
            <v>62</v>
          </cell>
          <cell r="H65">
            <v>1.5891063079958272</v>
          </cell>
          <cell r="I65">
            <v>1.8109752245131818</v>
          </cell>
          <cell r="J65">
            <v>2.27713746470608</v>
          </cell>
          <cell r="K65">
            <v>1.1138978701372713</v>
          </cell>
          <cell r="L65">
            <v>2.6148913270448331</v>
          </cell>
          <cell r="M65">
            <v>1.8094446270367686</v>
          </cell>
          <cell r="N65">
            <v>1.9221508364379956</v>
          </cell>
          <cell r="O65">
            <v>1.7455399363711246</v>
          </cell>
          <cell r="P65">
            <v>1.5519241502209786</v>
          </cell>
          <cell r="Q65">
            <v>2.1306359794728045</v>
          </cell>
          <cell r="AB65">
            <v>2066</v>
          </cell>
          <cell r="AC65">
            <v>62</v>
          </cell>
          <cell r="AD65">
            <v>1.5473834022038231</v>
          </cell>
          <cell r="AE65">
            <v>16.41938117717271</v>
          </cell>
        </row>
        <row r="66">
          <cell r="G66">
            <v>63</v>
          </cell>
          <cell r="H66">
            <v>1.5973573284249454</v>
          </cell>
          <cell r="I66">
            <v>1.8202916875567832</v>
          </cell>
          <cell r="J66">
            <v>2.2892320025023012</v>
          </cell>
          <cell r="K66">
            <v>1.1198479494417104</v>
          </cell>
          <cell r="L66">
            <v>2.6282897195486088</v>
          </cell>
          <cell r="M66">
            <v>1.8188371503585201</v>
          </cell>
          <cell r="N66">
            <v>1.9321863270539119</v>
          </cell>
          <cell r="O66">
            <v>1.754678760844169</v>
          </cell>
          <cell r="P66">
            <v>1.5600218885282422</v>
          </cell>
          <cell r="Q66">
            <v>2.1413739121431914</v>
          </cell>
          <cell r="AB66">
            <v>2067</v>
          </cell>
          <cell r="AC66">
            <v>63</v>
          </cell>
          <cell r="AD66">
            <v>1.5629929853762339</v>
          </cell>
          <cell r="AE66">
            <v>16.540845871763661</v>
          </cell>
        </row>
        <row r="67">
          <cell r="G67">
            <v>64</v>
          </cell>
          <cell r="H67">
            <v>1.6056083488540636</v>
          </cell>
          <cell r="I67">
            <v>1.8296081506003845</v>
          </cell>
          <cell r="J67">
            <v>2.3013265402985223</v>
          </cell>
          <cell r="K67">
            <v>1.1257980287461495</v>
          </cell>
          <cell r="L67">
            <v>2.6416881120523845</v>
          </cell>
          <cell r="M67">
            <v>1.8282296736802717</v>
          </cell>
          <cell r="N67">
            <v>1.9422218176698283</v>
          </cell>
          <cell r="O67">
            <v>1.7638175853172133</v>
          </cell>
          <cell r="P67">
            <v>1.5681196268355058</v>
          </cell>
          <cell r="Q67">
            <v>2.1521118448135783</v>
          </cell>
          <cell r="AB67">
            <v>2068</v>
          </cell>
          <cell r="AC67">
            <v>64</v>
          </cell>
          <cell r="AD67">
            <v>1.5781479204950792</v>
          </cell>
          <cell r="AE67">
            <v>16.660064381775157</v>
          </cell>
        </row>
        <row r="68">
          <cell r="G68">
            <v>65</v>
          </cell>
          <cell r="H68">
            <v>1.6138593692831817</v>
          </cell>
          <cell r="I68">
            <v>1.8389246136439859</v>
          </cell>
          <cell r="J68">
            <v>2.3134210780947435</v>
          </cell>
          <cell r="K68">
            <v>1.1317481080505887</v>
          </cell>
          <cell r="L68">
            <v>2.6550865045561602</v>
          </cell>
          <cell r="M68">
            <v>1.8376221970020232</v>
          </cell>
          <cell r="N68">
            <v>1.9522573082857446</v>
          </cell>
          <cell r="O68">
            <v>1.7729564097902577</v>
          </cell>
          <cell r="P68">
            <v>1.5762173651427693</v>
          </cell>
          <cell r="Q68">
            <v>2.1628497774839652</v>
          </cell>
          <cell r="AB68">
            <v>2069</v>
          </cell>
          <cell r="AC68">
            <v>65</v>
          </cell>
          <cell r="AD68">
            <v>1.5928614497366766</v>
          </cell>
          <cell r="AE68">
            <v>16.777084116162651</v>
          </cell>
        </row>
        <row r="69">
          <cell r="G69">
            <v>66</v>
          </cell>
          <cell r="H69">
            <v>1.6221103897122999</v>
          </cell>
          <cell r="I69">
            <v>1.8482410766875872</v>
          </cell>
          <cell r="J69">
            <v>2.3255156158909647</v>
          </cell>
          <cell r="K69">
            <v>1.1376981873550278</v>
          </cell>
          <cell r="L69">
            <v>2.668484897059936</v>
          </cell>
          <cell r="M69">
            <v>1.8470147203237748</v>
          </cell>
          <cell r="N69">
            <v>1.962292798901661</v>
          </cell>
          <cell r="O69">
            <v>1.7820952342633021</v>
          </cell>
          <cell r="P69">
            <v>1.5843151034500329</v>
          </cell>
          <cell r="Q69">
            <v>2.1735877101543521</v>
          </cell>
          <cell r="AB69">
            <v>2070</v>
          </cell>
          <cell r="AC69">
            <v>66</v>
          </cell>
          <cell r="AD69">
            <v>1.6071464295828877</v>
          </cell>
          <cell r="AE69">
            <v>16.891951056661519</v>
          </cell>
        </row>
        <row r="70">
          <cell r="G70">
            <v>67</v>
          </cell>
          <cell r="H70">
            <v>1.6303614101414181</v>
          </cell>
          <cell r="I70">
            <v>1.8575575397311885</v>
          </cell>
          <cell r="J70">
            <v>2.3376101536871858</v>
          </cell>
          <cell r="K70">
            <v>1.1436482666594669</v>
          </cell>
          <cell r="L70">
            <v>2.6818832895637117</v>
          </cell>
          <cell r="M70">
            <v>1.8564072436455263</v>
          </cell>
          <cell r="N70">
            <v>1.9723282895175773</v>
          </cell>
          <cell r="O70">
            <v>1.7912340587363464</v>
          </cell>
          <cell r="P70">
            <v>1.5924128417572965</v>
          </cell>
          <cell r="Q70">
            <v>2.1843256428247391</v>
          </cell>
          <cell r="AB70">
            <v>2071</v>
          </cell>
          <cell r="AC70">
            <v>67</v>
          </cell>
          <cell r="AD70">
            <v>1.6210153420549374</v>
          </cell>
          <cell r="AE70">
            <v>17.004709817339968</v>
          </cell>
        </row>
        <row r="71">
          <cell r="G71">
            <v>68</v>
          </cell>
          <cell r="H71">
            <v>1.6386124305705363</v>
          </cell>
          <cell r="I71">
            <v>1.8668740027747899</v>
          </cell>
          <cell r="J71">
            <v>2.349704691483407</v>
          </cell>
          <cell r="K71">
            <v>1.1495983459639061</v>
          </cell>
          <cell r="L71">
            <v>2.6952816820674874</v>
          </cell>
          <cell r="M71">
            <v>1.8657997669672779</v>
          </cell>
          <cell r="N71">
            <v>1.9823637801334937</v>
          </cell>
          <cell r="O71">
            <v>1.8003728832093908</v>
          </cell>
          <cell r="P71">
            <v>1.60051058006456</v>
          </cell>
          <cell r="Q71">
            <v>2.195063575495126</v>
          </cell>
          <cell r="AB71">
            <v>2072</v>
          </cell>
          <cell r="AC71">
            <v>68</v>
          </cell>
          <cell r="AD71">
            <v>1.6344803056200341</v>
          </cell>
          <cell r="AE71">
            <v>17.115403701409186</v>
          </cell>
        </row>
        <row r="72">
          <cell r="G72">
            <v>69</v>
          </cell>
          <cell r="H72">
            <v>1.6468634509996545</v>
          </cell>
          <cell r="I72">
            <v>1.8761904658183912</v>
          </cell>
          <cell r="J72">
            <v>2.3617992292796282</v>
          </cell>
          <cell r="K72">
            <v>1.1555484252683452</v>
          </cell>
          <cell r="L72">
            <v>2.7086800745712631</v>
          </cell>
          <cell r="M72">
            <v>1.8751922902890295</v>
          </cell>
          <cell r="N72">
            <v>1.99239927074941</v>
          </cell>
          <cell r="O72">
            <v>1.8095117076824352</v>
          </cell>
          <cell r="P72">
            <v>1.6086083183718236</v>
          </cell>
          <cell r="Q72">
            <v>2.2058015081655129</v>
          </cell>
          <cell r="AB72">
            <v>2073</v>
          </cell>
          <cell r="AC72">
            <v>69</v>
          </cell>
          <cell r="AD72">
            <v>1.6475530857803222</v>
          </cell>
          <cell r="AE72">
            <v>17.22407475541403</v>
          </cell>
        </row>
        <row r="73">
          <cell r="G73">
            <v>70</v>
          </cell>
          <cell r="H73">
            <v>1.6551144714287733</v>
          </cell>
          <cell r="I73">
            <v>1.8855069288619923</v>
          </cell>
          <cell r="J73">
            <v>2.3738937670758498</v>
          </cell>
          <cell r="K73">
            <v>1.1614985045727844</v>
          </cell>
          <cell r="L73">
            <v>2.7220784670750406</v>
          </cell>
          <cell r="M73">
            <v>1.8845848136107806</v>
          </cell>
          <cell r="N73">
            <v>2.0024347613653259</v>
          </cell>
          <cell r="O73">
            <v>1.8186505321554804</v>
          </cell>
          <cell r="P73">
            <v>1.6167060566790872</v>
          </cell>
          <cell r="Q73">
            <v>2.2165394408359003</v>
          </cell>
          <cell r="AB73">
            <v>2074</v>
          </cell>
          <cell r="AC73">
            <v>70</v>
          </cell>
          <cell r="AD73">
            <v>1.6602451053534175</v>
          </cell>
          <cell r="AE73">
            <v>17.330763820922417</v>
          </cell>
        </row>
        <row r="74">
          <cell r="G74">
            <v>71</v>
          </cell>
          <cell r="H74">
            <v>1.6633654918578922</v>
          </cell>
          <cell r="I74">
            <v>1.8948233919055935</v>
          </cell>
          <cell r="J74">
            <v>2.3859883048720714</v>
          </cell>
          <cell r="K74">
            <v>1.1674485838772235</v>
          </cell>
          <cell r="L74">
            <v>2.7354768595788181</v>
          </cell>
          <cell r="M74">
            <v>1.8939773369325317</v>
          </cell>
          <cell r="N74">
            <v>2.0124702519812416</v>
          </cell>
          <cell r="O74">
            <v>1.8277893566285257</v>
          </cell>
          <cell r="P74">
            <v>1.6248037949863507</v>
          </cell>
          <cell r="Q74">
            <v>2.2272773735062876</v>
          </cell>
          <cell r="AB74">
            <v>2075</v>
          </cell>
          <cell r="AC74">
            <v>71</v>
          </cell>
          <cell r="AD74">
            <v>1.6725674544535098</v>
          </cell>
          <cell r="AE74">
            <v>17.435510583826421</v>
          </cell>
        </row>
        <row r="75">
          <cell r="AB75">
            <v>2076</v>
          </cell>
          <cell r="AC75">
            <v>72</v>
          </cell>
          <cell r="AD75">
            <v>1.6845309001817552</v>
          </cell>
          <cell r="AE75">
            <v>17.538353621363228</v>
          </cell>
        </row>
        <row r="76">
          <cell r="AB76">
            <v>2077</v>
          </cell>
          <cell r="AC76">
            <v>73</v>
          </cell>
          <cell r="AD76">
            <v>1.6961458960344202</v>
          </cell>
          <cell r="AE76">
            <v>17.63933044695958</v>
          </cell>
        </row>
        <row r="77">
          <cell r="AB77">
            <v>2078</v>
          </cell>
          <cell r="AC77">
            <v>74</v>
          </cell>
          <cell r="AD77">
            <v>1.707422591037008</v>
          </cell>
          <cell r="AE77">
            <v>17.738477552998674</v>
          </cell>
        </row>
        <row r="78">
          <cell r="AB78">
            <v>2079</v>
          </cell>
          <cell r="AC78">
            <v>75</v>
          </cell>
          <cell r="AD78">
            <v>1.7183708386123357</v>
          </cell>
          <cell r="AE78">
            <v>17.835830451604359</v>
          </cell>
        </row>
        <row r="79">
          <cell r="AB79">
            <v>2080</v>
          </cell>
          <cell r="AC79">
            <v>76</v>
          </cell>
          <cell r="AD79">
            <v>1.7290002051903237</v>
          </cell>
          <cell r="AE79">
            <v>17.890024195993831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FF BY MEASURE"/>
      <sheetName val="TOTAL FIRST YEAR"/>
      <sheetName val="Rates&amp;NEB"/>
      <sheetName val="Insulation Calcs"/>
      <sheetName val="Equations"/>
    </sheetNames>
    <sheetDataSet>
      <sheetData sheetId="0" refreshError="1"/>
      <sheetData sheetId="1" refreshError="1"/>
      <sheetData sheetId="2" refreshError="1">
        <row r="5">
          <cell r="B5">
            <v>7.6310000000000003E-2</v>
          </cell>
        </row>
        <row r="7">
          <cell r="B7">
            <v>3.32E-2</v>
          </cell>
        </row>
        <row r="9">
          <cell r="B9">
            <v>4.1700000000000001E-2</v>
          </cell>
        </row>
        <row r="13">
          <cell r="B13">
            <v>0.1</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ow r="5">
          <cell r="A5" t="str">
            <v>CEILING</v>
          </cell>
          <cell r="B5" t="str">
            <v>CEILING INSULATION ZONE 1</v>
          </cell>
          <cell r="C5">
            <v>101.631</v>
          </cell>
          <cell r="D5">
            <v>1007.7348066298341</v>
          </cell>
          <cell r="E5">
            <v>45</v>
          </cell>
          <cell r="F5" t="str">
            <v>Ceiling Insulation</v>
          </cell>
          <cell r="G5" t="str">
            <v>Equal to or Greater than R-38</v>
          </cell>
        </row>
        <row r="6">
          <cell r="A6" t="str">
            <v>CEILING</v>
          </cell>
          <cell r="B6" t="str">
            <v>CEILING INSULATION ZONE 2</v>
          </cell>
          <cell r="C6">
            <v>98.064999999999998</v>
          </cell>
          <cell r="D6">
            <v>1005.7142857142857</v>
          </cell>
          <cell r="E6">
            <v>45</v>
          </cell>
          <cell r="F6" t="str">
            <v>Ceiling Insulation</v>
          </cell>
          <cell r="G6" t="str">
            <v>Equal to or Greater than R-39</v>
          </cell>
        </row>
        <row r="7">
          <cell r="A7" t="str">
            <v>CEILING</v>
          </cell>
          <cell r="B7" t="str">
            <v>CEILING INSULATION ZONE 3</v>
          </cell>
          <cell r="C7">
            <v>115.89500000000001</v>
          </cell>
          <cell r="D7">
            <v>1009.7087378640778</v>
          </cell>
          <cell r="E7">
            <v>45</v>
          </cell>
          <cell r="F7" t="str">
            <v>Ceiling Insulation</v>
          </cell>
          <cell r="G7" t="str">
            <v>Equal to or Greater than R-40</v>
          </cell>
        </row>
        <row r="8">
          <cell r="A8" t="str">
            <v>FLOOR</v>
          </cell>
          <cell r="B8" t="str">
            <v>FLOOR INSULATION ZONE 1</v>
          </cell>
          <cell r="C8">
            <v>101.631</v>
          </cell>
          <cell r="D8">
            <v>1007.7348066298341</v>
          </cell>
          <cell r="E8">
            <v>45</v>
          </cell>
          <cell r="F8" t="str">
            <v>Floor Insulation</v>
          </cell>
          <cell r="G8" t="str">
            <v>Equal to or Greater than R-30 or to fill cavity</v>
          </cell>
        </row>
        <row r="9">
          <cell r="A9" t="str">
            <v>FLOOR</v>
          </cell>
          <cell r="B9" t="str">
            <v>FLOOR INSULATION ZONE 2</v>
          </cell>
          <cell r="C9">
            <v>98.064999999999998</v>
          </cell>
          <cell r="D9">
            <v>1005.7142857142857</v>
          </cell>
          <cell r="E9">
            <v>45</v>
          </cell>
          <cell r="F9" t="str">
            <v>Floor Insulation</v>
          </cell>
          <cell r="G9" t="str">
            <v>Equal to or Greater than R-30 or to fill cavity</v>
          </cell>
        </row>
        <row r="10">
          <cell r="A10" t="str">
            <v>FLOOR</v>
          </cell>
          <cell r="B10" t="str">
            <v>FLOOR INSULATION ZONE 3</v>
          </cell>
          <cell r="C10">
            <v>115.89500000000001</v>
          </cell>
          <cell r="D10">
            <v>1009.7087378640778</v>
          </cell>
          <cell r="E10">
            <v>45</v>
          </cell>
          <cell r="F10" t="str">
            <v>Floor Insulation</v>
          </cell>
          <cell r="G10" t="str">
            <v>Equal to or Greater than R-30 or to fill cavity</v>
          </cell>
        </row>
        <row r="11">
          <cell r="A11" t="str">
            <v>N-A102</v>
          </cell>
          <cell r="B11" t="str">
            <v>MEF 2.0 Washer</v>
          </cell>
          <cell r="C11">
            <v>2.9701291199999935</v>
          </cell>
          <cell r="D11">
            <v>33.200000000000003</v>
          </cell>
          <cell r="E11">
            <v>12</v>
          </cell>
        </row>
        <row r="12">
          <cell r="A12" t="str">
            <v>N-A103</v>
          </cell>
          <cell r="B12" t="str">
            <v>Estar Dishwasher</v>
          </cell>
          <cell r="C12">
            <v>2.5504325100000003</v>
          </cell>
          <cell r="D12">
            <v>38</v>
          </cell>
          <cell r="E12">
            <v>12</v>
          </cell>
        </row>
        <row r="13">
          <cell r="A13" t="str">
            <v>N-A105</v>
          </cell>
          <cell r="B13" t="str">
            <v>Hi-eff Washer</v>
          </cell>
          <cell r="C13">
            <v>3.510152596363632</v>
          </cell>
          <cell r="D13">
            <v>49.8</v>
          </cell>
          <cell r="E13">
            <v>12</v>
          </cell>
        </row>
        <row r="14">
          <cell r="A14" t="str">
            <v>N-DG101</v>
          </cell>
          <cell r="B14" t="str">
            <v>Tank upgrade (50 gal gas)</v>
          </cell>
          <cell r="C14">
            <v>13.125695216907701</v>
          </cell>
          <cell r="D14">
            <v>350</v>
          </cell>
          <cell r="E14">
            <v>15</v>
          </cell>
        </row>
        <row r="15">
          <cell r="A15" t="str">
            <v>N-DG102</v>
          </cell>
          <cell r="B15" t="str">
            <v>Tank upgrade (50 gal gas) condensing</v>
          </cell>
          <cell r="C15">
            <v>66.238973536487578</v>
          </cell>
          <cell r="D15">
            <v>2500</v>
          </cell>
          <cell r="E15">
            <v>15</v>
          </cell>
        </row>
        <row r="16">
          <cell r="A16" t="str">
            <v>N-DG103</v>
          </cell>
          <cell r="B16" t="str">
            <v>Solar hot water heater (50 gal) - Solar Zone 2.  With gas backup.</v>
          </cell>
          <cell r="C16">
            <v>112.67904509283822</v>
          </cell>
          <cell r="D16">
            <v>3850</v>
          </cell>
          <cell r="E16">
            <v>20</v>
          </cell>
        </row>
        <row r="17">
          <cell r="A17" t="str">
            <v>N-DG104</v>
          </cell>
          <cell r="B17" t="str">
            <v>Tankless Gas heater</v>
          </cell>
          <cell r="C17">
            <v>42.714932126696823</v>
          </cell>
          <cell r="D17">
            <v>800</v>
          </cell>
          <cell r="E17">
            <v>20</v>
          </cell>
          <cell r="F17" t="str">
            <v>.81 Tankless W.H.  (new const. upgrade)</v>
          </cell>
          <cell r="G17" t="str">
            <v>0.81 EF Above Energy Star Home</v>
          </cell>
        </row>
        <row r="18">
          <cell r="A18" t="str">
            <v>N-GD106</v>
          </cell>
          <cell r="B18" t="str">
            <v>Tank upgrade (50 gal gas) Hi Eff Alternative</v>
          </cell>
          <cell r="C18">
            <v>76.847290640394107</v>
          </cell>
          <cell r="D18">
            <v>585</v>
          </cell>
          <cell r="E18">
            <v>15</v>
          </cell>
        </row>
        <row r="19">
          <cell r="A19" t="str">
            <v>N-GD107</v>
          </cell>
          <cell r="B19" t="str">
            <v>Solar hot water heater (50 gal) - With gas backup.</v>
          </cell>
          <cell r="C19">
            <v>116.78425531914893</v>
          </cell>
          <cell r="D19">
            <v>6430.2853608247415</v>
          </cell>
          <cell r="E19">
            <v>20</v>
          </cell>
        </row>
        <row r="20">
          <cell r="A20" t="str">
            <v>N-GD108</v>
          </cell>
          <cell r="B20" t="str">
            <v>Tankless Gas heater</v>
          </cell>
          <cell r="C20">
            <v>94.117647058823479</v>
          </cell>
          <cell r="D20">
            <v>1050</v>
          </cell>
          <cell r="E20">
            <v>20</v>
          </cell>
        </row>
        <row r="21">
          <cell r="A21" t="str">
            <v>N-GD109</v>
          </cell>
          <cell r="B21" t="str">
            <v>Upgrade to Navien Tankless Gas heater</v>
          </cell>
          <cell r="C21">
            <v>13.747521480502304</v>
          </cell>
          <cell r="D21">
            <v>150</v>
          </cell>
          <cell r="E21">
            <v>20</v>
          </cell>
        </row>
        <row r="22">
          <cell r="A22" t="str">
            <v>N-GH129</v>
          </cell>
          <cell r="B22" t="str">
            <v>E* Insulation, Ducts, DHW, Lights (Gas Z 3)</v>
          </cell>
          <cell r="C22">
            <v>172.78918815544239</v>
          </cell>
          <cell r="D22">
            <v>1398</v>
          </cell>
          <cell r="E22">
            <v>45</v>
          </cell>
        </row>
        <row r="23">
          <cell r="A23" t="str">
            <v>N-GH130</v>
          </cell>
          <cell r="B23" t="str">
            <v>Heating upgrade (AFUE 90) (Z 3)</v>
          </cell>
          <cell r="C23">
            <v>84.103236843220017</v>
          </cell>
          <cell r="D23">
            <v>150</v>
          </cell>
          <cell r="E23">
            <v>15</v>
          </cell>
        </row>
        <row r="24">
          <cell r="A24" t="str">
            <v>N-GH131</v>
          </cell>
          <cell r="B24" t="str">
            <v>Window U=.3 (Gas Z 3)</v>
          </cell>
          <cell r="C24">
            <v>19.434999999999999</v>
          </cell>
          <cell r="D24">
            <v>183</v>
          </cell>
          <cell r="E24">
            <v>45</v>
          </cell>
        </row>
        <row r="25">
          <cell r="A25" t="str">
            <v>N-GH132</v>
          </cell>
          <cell r="B25" t="str">
            <v>HRV, E* (Gas Z 3)</v>
          </cell>
          <cell r="C25">
            <v>125.58</v>
          </cell>
          <cell r="D25">
            <v>300</v>
          </cell>
          <cell r="E25">
            <v>15</v>
          </cell>
        </row>
        <row r="26">
          <cell r="A26" t="str">
            <v>N-GH133</v>
          </cell>
          <cell r="B26" t="str">
            <v>Ducts Indoor, DHW, Lights (Gas Z 3)</v>
          </cell>
          <cell r="C26">
            <v>163.10284751802882</v>
          </cell>
          <cell r="D26">
            <v>775</v>
          </cell>
          <cell r="E26">
            <v>45</v>
          </cell>
        </row>
        <row r="27">
          <cell r="A27" t="str">
            <v>N-GH134</v>
          </cell>
          <cell r="B27" t="str">
            <v>E* Insulation, Ducts, DHW, Lights (Gas Z 4)</v>
          </cell>
          <cell r="C27">
            <v>123.52440659565997</v>
          </cell>
          <cell r="D27">
            <v>1398</v>
          </cell>
          <cell r="E27">
            <v>45</v>
          </cell>
        </row>
        <row r="28">
          <cell r="A28" t="str">
            <v>N-GH135</v>
          </cell>
          <cell r="B28" t="str">
            <v>Heating upgrade (AFUE 90) (Z 4)</v>
          </cell>
          <cell r="C28">
            <v>63.400901620273551</v>
          </cell>
          <cell r="D28">
            <v>150</v>
          </cell>
          <cell r="E28">
            <v>15</v>
          </cell>
        </row>
        <row r="29">
          <cell r="A29" t="str">
            <v>N-GH136</v>
          </cell>
          <cell r="B29" t="str">
            <v>Window U=.3 (Gas Z 4)</v>
          </cell>
          <cell r="C29">
            <v>14.651</v>
          </cell>
          <cell r="D29">
            <v>183</v>
          </cell>
          <cell r="E29">
            <v>45</v>
          </cell>
        </row>
        <row r="30">
          <cell r="A30" t="str">
            <v>N-GH137</v>
          </cell>
          <cell r="B30" t="str">
            <v>HRV, E* (Gas Z 4)</v>
          </cell>
          <cell r="C30">
            <v>94.668000000000006</v>
          </cell>
          <cell r="D30">
            <v>300</v>
          </cell>
          <cell r="E30">
            <v>15</v>
          </cell>
        </row>
        <row r="31">
          <cell r="A31" t="str">
            <v>N-GH138</v>
          </cell>
          <cell r="B31" t="str">
            <v>Ducts Indoor, DHW, Lights (Gas Z 4)</v>
          </cell>
          <cell r="C31">
            <v>122.95445428282173</v>
          </cell>
          <cell r="D31">
            <v>775</v>
          </cell>
          <cell r="E31">
            <v>45</v>
          </cell>
        </row>
        <row r="32">
          <cell r="A32" t="str">
            <v>N-GH139</v>
          </cell>
          <cell r="B32" t="str">
            <v>Tank upgrade (50 gal gas)</v>
          </cell>
          <cell r="C32">
            <v>28.921023359288096</v>
          </cell>
          <cell r="D32">
            <v>200</v>
          </cell>
          <cell r="E32">
            <v>15</v>
          </cell>
        </row>
        <row r="33">
          <cell r="A33" t="str">
            <v>N-H101</v>
          </cell>
          <cell r="B33" t="str">
            <v>E* Insulation, Ducts, Zone 1</v>
          </cell>
          <cell r="C33">
            <v>94.5</v>
          </cell>
          <cell r="D33">
            <v>1000</v>
          </cell>
          <cell r="E33">
            <v>30</v>
          </cell>
          <cell r="F33" t="str">
            <v>Energy * Qualified Gas</v>
          </cell>
          <cell r="G33" t="str">
            <v>90% AFUE Rating</v>
          </cell>
        </row>
        <row r="34">
          <cell r="A34" t="str">
            <v>N-H102</v>
          </cell>
          <cell r="B34" t="str">
            <v>E* Insulation, Ducts, Zone 2</v>
          </cell>
          <cell r="C34">
            <v>101.7</v>
          </cell>
          <cell r="D34">
            <v>1000</v>
          </cell>
          <cell r="E34">
            <v>30</v>
          </cell>
          <cell r="F34" t="str">
            <v>Energy * Qualified Gas</v>
          </cell>
          <cell r="G34" t="str">
            <v>90% AFUE Rating</v>
          </cell>
        </row>
        <row r="35">
          <cell r="A35" t="str">
            <v>N-H103</v>
          </cell>
          <cell r="B35" t="str">
            <v>E* Insulation, Ducts, Zone 3</v>
          </cell>
          <cell r="C35">
            <v>126</v>
          </cell>
          <cell r="D35">
            <v>1000</v>
          </cell>
          <cell r="E35">
            <v>30</v>
          </cell>
          <cell r="F35" t="str">
            <v>Energy * Qualified Gas</v>
          </cell>
          <cell r="G35" t="str">
            <v>90% AFUE Rating</v>
          </cell>
        </row>
        <row r="36">
          <cell r="A36" t="str">
            <v>N-H104</v>
          </cell>
          <cell r="B36" t="str">
            <v>Heating upgrade (AFUE 90), Zone 1</v>
          </cell>
          <cell r="C36">
            <v>61.2</v>
          </cell>
          <cell r="D36">
            <v>500</v>
          </cell>
          <cell r="E36">
            <v>18</v>
          </cell>
          <cell r="F36" t="str">
            <v>90% AFUE New Gas Furnace (New)</v>
          </cell>
          <cell r="G36" t="str">
            <v>90% AFUE Rating</v>
          </cell>
        </row>
        <row r="37">
          <cell r="A37" t="str">
            <v>N-H105</v>
          </cell>
          <cell r="B37" t="str">
            <v>Heating upgrade (AFUE 90), Zone 2</v>
          </cell>
          <cell r="C37">
            <v>81</v>
          </cell>
          <cell r="D37">
            <v>500</v>
          </cell>
          <cell r="E37">
            <v>18</v>
          </cell>
          <cell r="F37" t="str">
            <v>90% AFUE New Gas Furnace (New)</v>
          </cell>
          <cell r="G37" t="str">
            <v>90% AFUE Rating</v>
          </cell>
        </row>
        <row r="38">
          <cell r="A38" t="str">
            <v>N-H106</v>
          </cell>
          <cell r="B38" t="str">
            <v>Heating upgrade (AFUE 90), Zone 3</v>
          </cell>
          <cell r="C38">
            <v>64.8</v>
          </cell>
          <cell r="D38">
            <v>500</v>
          </cell>
          <cell r="E38">
            <v>18</v>
          </cell>
          <cell r="F38" t="str">
            <v>90% AFUE New Gas Furnace (New)</v>
          </cell>
          <cell r="G38" t="str">
            <v>90% AFUE Rating</v>
          </cell>
        </row>
        <row r="39">
          <cell r="A39" t="str">
            <v>N-H107</v>
          </cell>
          <cell r="B39" t="str">
            <v>Window U=.3, Zone 1</v>
          </cell>
          <cell r="C39">
            <v>28.8</v>
          </cell>
          <cell r="D39">
            <v>720</v>
          </cell>
          <cell r="E39">
            <v>45</v>
          </cell>
        </row>
        <row r="40">
          <cell r="A40" t="str">
            <v>N-H108</v>
          </cell>
          <cell r="B40" t="str">
            <v>Window U=.3, Zone 2</v>
          </cell>
          <cell r="C40">
            <v>31.5</v>
          </cell>
          <cell r="D40">
            <v>720</v>
          </cell>
          <cell r="E40">
            <v>45</v>
          </cell>
        </row>
        <row r="41">
          <cell r="A41" t="str">
            <v>N-H109</v>
          </cell>
          <cell r="B41" t="str">
            <v>Window U=.3, Zone 3</v>
          </cell>
          <cell r="C41">
            <v>36</v>
          </cell>
          <cell r="D41">
            <v>720</v>
          </cell>
          <cell r="E41">
            <v>45</v>
          </cell>
        </row>
        <row r="42">
          <cell r="A42" t="str">
            <v>N-H110</v>
          </cell>
          <cell r="B42" t="str">
            <v>HRV, E*, Zone 1</v>
          </cell>
          <cell r="C42">
            <v>76.5</v>
          </cell>
          <cell r="D42">
            <v>1500</v>
          </cell>
          <cell r="E42">
            <v>45</v>
          </cell>
        </row>
        <row r="43">
          <cell r="A43" t="str">
            <v>N-H111</v>
          </cell>
          <cell r="B43" t="str">
            <v>HRV, E*, Zone 2</v>
          </cell>
          <cell r="C43">
            <v>81</v>
          </cell>
          <cell r="D43">
            <v>1500</v>
          </cell>
          <cell r="E43">
            <v>45</v>
          </cell>
        </row>
        <row r="44">
          <cell r="A44" t="str">
            <v>N-H112</v>
          </cell>
          <cell r="B44" t="str">
            <v>HRV, E*, Zone 3</v>
          </cell>
          <cell r="C44">
            <v>93.6</v>
          </cell>
          <cell r="D44">
            <v>1500</v>
          </cell>
          <cell r="E44">
            <v>45</v>
          </cell>
        </row>
        <row r="45">
          <cell r="A45" t="str">
            <v>N-H113</v>
          </cell>
          <cell r="B45" t="str">
            <v>E* Plus (FTC) Insulation, Zone 1</v>
          </cell>
          <cell r="C45">
            <v>220.5</v>
          </cell>
          <cell r="D45">
            <v>3700</v>
          </cell>
          <cell r="E45">
            <v>30</v>
          </cell>
          <cell r="F45" t="str">
            <v>Energy * Plus</v>
          </cell>
          <cell r="G45" t="str">
            <v>Federal Tax Credit Eligible</v>
          </cell>
        </row>
        <row r="46">
          <cell r="A46" t="str">
            <v>N-H114</v>
          </cell>
          <cell r="B46" t="str">
            <v>E* Plus (FTC) Insulation, Zone 2</v>
          </cell>
          <cell r="C46">
            <v>234.9</v>
          </cell>
          <cell r="D46">
            <v>3700</v>
          </cell>
          <cell r="E46">
            <v>30</v>
          </cell>
          <cell r="F46" t="str">
            <v>Energy * Plus</v>
          </cell>
          <cell r="G46" t="str">
            <v>Federal Tax Credit Eligible</v>
          </cell>
        </row>
        <row r="47">
          <cell r="A47" t="str">
            <v>N-H115</v>
          </cell>
          <cell r="B47" t="str">
            <v>E* Plus (FTC) Insulation, Zone 3</v>
          </cell>
          <cell r="C47">
            <v>296.10000000000002</v>
          </cell>
          <cell r="D47">
            <v>3700</v>
          </cell>
          <cell r="E47">
            <v>30</v>
          </cell>
          <cell r="F47" t="str">
            <v>Energy * Plus</v>
          </cell>
          <cell r="G47" t="str">
            <v>Federal Tax Credit Eligible</v>
          </cell>
        </row>
        <row r="48">
          <cell r="A48" t="str">
            <v>R-A102</v>
          </cell>
          <cell r="B48" t="str">
            <v>MEF 2.0 Washer</v>
          </cell>
          <cell r="C48">
            <v>5.6</v>
          </cell>
          <cell r="D48">
            <v>113</v>
          </cell>
          <cell r="E48">
            <v>12</v>
          </cell>
          <cell r="F48" t="str">
            <v>2.0 MEF E* Clothes Washer</v>
          </cell>
          <cell r="G48" t="str">
            <v>2.0 MEF</v>
          </cell>
        </row>
        <row r="49">
          <cell r="A49" t="str">
            <v>R-A103</v>
          </cell>
          <cell r="B49" t="str">
            <v>Estar Dishwasher</v>
          </cell>
          <cell r="C49">
            <v>2.1501899999999998</v>
          </cell>
          <cell r="D49">
            <v>38</v>
          </cell>
          <cell r="E49">
            <v>12</v>
          </cell>
        </row>
        <row r="50">
          <cell r="A50" t="str">
            <v>R-DG101</v>
          </cell>
          <cell r="B50" t="str">
            <v>Tank upgrade (50 gal gas)</v>
          </cell>
          <cell r="C50">
            <v>13.125695216907701</v>
          </cell>
          <cell r="D50">
            <v>350</v>
          </cell>
          <cell r="E50">
            <v>15</v>
          </cell>
          <cell r="F50" t="str">
            <v>.62 Water Heater</v>
          </cell>
          <cell r="G50" t="str">
            <v>0.62 Energy Factor or Greater</v>
          </cell>
        </row>
        <row r="51">
          <cell r="A51" t="str">
            <v>R-DG102</v>
          </cell>
          <cell r="B51" t="str">
            <v>Tank upgrade (50 gal gas) condensing</v>
          </cell>
          <cell r="C51">
            <v>66.238973536487578</v>
          </cell>
          <cell r="D51">
            <v>2500</v>
          </cell>
          <cell r="E51">
            <v>15</v>
          </cell>
        </row>
        <row r="52">
          <cell r="A52" t="str">
            <v>R-DG103</v>
          </cell>
          <cell r="B52" t="str">
            <v>Solar hot water heater (50 gal) - Solar Zone 2.  With gas backup.</v>
          </cell>
          <cell r="C52">
            <v>112.67904509283822</v>
          </cell>
          <cell r="D52">
            <v>3850</v>
          </cell>
          <cell r="E52">
            <v>20</v>
          </cell>
        </row>
        <row r="53">
          <cell r="A53" t="str">
            <v>R-DG104</v>
          </cell>
          <cell r="B53" t="str">
            <v>Tankless Gas heater</v>
          </cell>
          <cell r="C53">
            <v>42.714932126696823</v>
          </cell>
          <cell r="D53">
            <v>800</v>
          </cell>
          <cell r="E53">
            <v>20</v>
          </cell>
          <cell r="F53" t="str">
            <v>.81 Tankless Water Heater (replace)</v>
          </cell>
          <cell r="G53" t="str">
            <v>0.81 Energy Factor</v>
          </cell>
        </row>
        <row r="54">
          <cell r="A54" t="str">
            <v>R-GD110</v>
          </cell>
          <cell r="B54" t="str">
            <v>Tankless Gas heater replace</v>
          </cell>
          <cell r="C54">
            <v>94.117647058823479</v>
          </cell>
          <cell r="D54">
            <v>800</v>
          </cell>
          <cell r="E54">
            <v>20</v>
          </cell>
        </row>
        <row r="55">
          <cell r="A55" t="str">
            <v>R-GD111</v>
          </cell>
          <cell r="B55" t="str">
            <v>Tank upgrade (50 gal gas) Hi Eff Alternative</v>
          </cell>
          <cell r="C55">
            <v>76.847290640394107</v>
          </cell>
          <cell r="D55">
            <v>585</v>
          </cell>
          <cell r="E55">
            <v>15</v>
          </cell>
        </row>
        <row r="56">
          <cell r="A56" t="str">
            <v>R-GD112</v>
          </cell>
          <cell r="B56" t="str">
            <v>Upgrade to Navien Tankless Gas heater</v>
          </cell>
          <cell r="C56">
            <v>13.747521480502304</v>
          </cell>
          <cell r="D56">
            <v>150</v>
          </cell>
          <cell r="E56">
            <v>20</v>
          </cell>
        </row>
        <row r="57">
          <cell r="A57" t="str">
            <v>R-GD113</v>
          </cell>
          <cell r="B57" t="str">
            <v>Solar hot water heater (50 gal) - With gas backup.</v>
          </cell>
          <cell r="C57">
            <v>116.78425531914893</v>
          </cell>
          <cell r="D57">
            <v>6430.2853608247415</v>
          </cell>
          <cell r="E57">
            <v>20</v>
          </cell>
        </row>
        <row r="58">
          <cell r="A58" t="str">
            <v>R-GH114</v>
          </cell>
          <cell r="B58" t="str">
            <v>Duct Sealing,  Z 3</v>
          </cell>
          <cell r="C58">
            <v>160.60137954288945</v>
          </cell>
          <cell r="D58">
            <v>619</v>
          </cell>
          <cell r="E58">
            <v>20</v>
          </cell>
        </row>
        <row r="59">
          <cell r="A59" t="str">
            <v>R-GH115</v>
          </cell>
          <cell r="B59" t="str">
            <v>AFUE 90 to hydrocoil combo, Z 3</v>
          </cell>
          <cell r="C59">
            <v>171.60567326367018</v>
          </cell>
          <cell r="D59">
            <v>300</v>
          </cell>
          <cell r="E59">
            <v>45</v>
          </cell>
        </row>
        <row r="60">
          <cell r="A60" t="str">
            <v>R-GH116</v>
          </cell>
          <cell r="B60" t="str">
            <v>Boiler to Polaris Combo radiant, Z 3</v>
          </cell>
          <cell r="C60">
            <v>398.56802919597578</v>
          </cell>
          <cell r="D60">
            <v>4400</v>
          </cell>
          <cell r="E60">
            <v>45</v>
          </cell>
        </row>
        <row r="61">
          <cell r="A61" t="str">
            <v>R-GH117</v>
          </cell>
          <cell r="B61" t="str">
            <v>Duct Sealing,  Z 4</v>
          </cell>
          <cell r="C61">
            <v>151.29711399304443</v>
          </cell>
          <cell r="D61">
            <v>619</v>
          </cell>
          <cell r="E61">
            <v>20</v>
          </cell>
        </row>
        <row r="62">
          <cell r="A62" t="str">
            <v>R-GH118</v>
          </cell>
          <cell r="B62" t="str">
            <v>AFUE 90 to hydrocoil combo, Z 4</v>
          </cell>
          <cell r="C62">
            <v>168.58131406305466</v>
          </cell>
          <cell r="D62">
            <v>300</v>
          </cell>
          <cell r="E62">
            <v>45</v>
          </cell>
        </row>
        <row r="63">
          <cell r="A63" t="str">
            <v>R-GH119</v>
          </cell>
          <cell r="B63" t="str">
            <v>Boiler to Polaris Combo radiant, Z 4</v>
          </cell>
          <cell r="C63">
            <v>381.35511159032558</v>
          </cell>
          <cell r="D63">
            <v>4400</v>
          </cell>
          <cell r="E63">
            <v>45</v>
          </cell>
        </row>
        <row r="64">
          <cell r="A64" t="str">
            <v>R-GH122</v>
          </cell>
          <cell r="B64" t="str">
            <v>AFUE 90+ Furnace, Z 3</v>
          </cell>
          <cell r="C64">
            <v>77.143331535369825</v>
          </cell>
          <cell r="D64">
            <v>300</v>
          </cell>
          <cell r="E64">
            <v>18</v>
          </cell>
        </row>
        <row r="65">
          <cell r="A65" t="str">
            <v>R-GH123</v>
          </cell>
          <cell r="B65" t="str">
            <v>Duct Sealing and AFUE 90+ , Z 3</v>
          </cell>
          <cell r="C65">
            <v>160.60137954288945</v>
          </cell>
          <cell r="D65">
            <v>1600</v>
          </cell>
          <cell r="E65">
            <v>20</v>
          </cell>
        </row>
        <row r="66">
          <cell r="A66" t="str">
            <v>R-GH124</v>
          </cell>
          <cell r="B66" t="str">
            <v>AFUE 90+ Furnace, Z 4</v>
          </cell>
          <cell r="C66">
            <v>77.143331535369825</v>
          </cell>
          <cell r="D66">
            <v>300</v>
          </cell>
          <cell r="E66">
            <v>18</v>
          </cell>
        </row>
        <row r="67">
          <cell r="A67" t="str">
            <v>R-GH125</v>
          </cell>
          <cell r="B67" t="str">
            <v>Duct Sealing and AFUE 90+ , Z 4</v>
          </cell>
          <cell r="C67">
            <v>151.29711399304443</v>
          </cell>
          <cell r="D67">
            <v>1600</v>
          </cell>
          <cell r="E67">
            <v>20</v>
          </cell>
        </row>
        <row r="68">
          <cell r="A68" t="str">
            <v>R-GW117</v>
          </cell>
          <cell r="B68" t="str">
            <v>Wx insulation (ceiling, floor), Z 1-2</v>
          </cell>
          <cell r="C68">
            <v>322.22636417500001</v>
          </cell>
          <cell r="D68">
            <v>2099</v>
          </cell>
          <cell r="E68">
            <v>45</v>
          </cell>
        </row>
        <row r="69">
          <cell r="A69" t="str">
            <v>R-GW118</v>
          </cell>
          <cell r="B69" t="str">
            <v>Wx insulation (add walls), Z 1-2</v>
          </cell>
          <cell r="C69">
            <v>260.71676622499996</v>
          </cell>
          <cell r="D69">
            <v>1305</v>
          </cell>
          <cell r="E69">
            <v>45</v>
          </cell>
        </row>
        <row r="70">
          <cell r="A70" t="str">
            <v>R-GW119</v>
          </cell>
          <cell r="B70" t="str">
            <v>Window, retro (U=.35), Z 1-2</v>
          </cell>
          <cell r="C70">
            <v>154.92191476249997</v>
          </cell>
          <cell r="D70">
            <v>4500</v>
          </cell>
          <cell r="E70">
            <v>45</v>
          </cell>
        </row>
        <row r="71">
          <cell r="A71" t="str">
            <v>R-GW120</v>
          </cell>
          <cell r="B71" t="str">
            <v>Window replace (U=.35), Z 1-2</v>
          </cell>
          <cell r="C71">
            <v>19.365239345312496</v>
          </cell>
          <cell r="D71">
            <v>350</v>
          </cell>
          <cell r="E71">
            <v>45</v>
          </cell>
        </row>
        <row r="72">
          <cell r="A72" t="str">
            <v>R-GW121</v>
          </cell>
          <cell r="B72" t="str">
            <v>HRV, Z 1-2</v>
          </cell>
          <cell r="C72">
            <v>58.700080343749981</v>
          </cell>
          <cell r="D72">
            <v>2000</v>
          </cell>
          <cell r="E72">
            <v>36</v>
          </cell>
        </row>
        <row r="73">
          <cell r="A73" t="str">
            <v>R-GW122</v>
          </cell>
          <cell r="B73" t="str">
            <v>Wx insulation (ceiling, floor), Z 3</v>
          </cell>
          <cell r="C73">
            <v>450.30187691249995</v>
          </cell>
          <cell r="D73">
            <v>2099</v>
          </cell>
          <cell r="E73">
            <v>45</v>
          </cell>
        </row>
        <row r="74">
          <cell r="A74" t="str">
            <v>R-GW123</v>
          </cell>
          <cell r="B74" t="str">
            <v>Wx insulation (add walls), Z 3</v>
          </cell>
          <cell r="C74">
            <v>379.38024886249991</v>
          </cell>
          <cell r="D74">
            <v>1305</v>
          </cell>
          <cell r="E74">
            <v>45</v>
          </cell>
        </row>
        <row r="75">
          <cell r="A75" t="str">
            <v>R-GW124</v>
          </cell>
          <cell r="B75" t="str">
            <v>Window, retro (U=.35), Z 3</v>
          </cell>
          <cell r="C75">
            <v>223.63618506250003</v>
          </cell>
          <cell r="D75">
            <v>4500</v>
          </cell>
          <cell r="E75">
            <v>45</v>
          </cell>
        </row>
        <row r="76">
          <cell r="A76" t="str">
            <v>R-GW125</v>
          </cell>
          <cell r="B76" t="str">
            <v>Window replace (U=.35), Z 3</v>
          </cell>
          <cell r="C76">
            <v>27.954523132812504</v>
          </cell>
          <cell r="D76">
            <v>350</v>
          </cell>
          <cell r="E76">
            <v>45</v>
          </cell>
        </row>
        <row r="77">
          <cell r="A77" t="str">
            <v>R-GW126</v>
          </cell>
          <cell r="B77" t="str">
            <v>HRV, Z 3</v>
          </cell>
          <cell r="C77">
            <v>89.166715462499965</v>
          </cell>
          <cell r="D77">
            <v>2000</v>
          </cell>
          <cell r="E77">
            <v>18</v>
          </cell>
        </row>
        <row r="78">
          <cell r="A78" t="str">
            <v>R-GW127</v>
          </cell>
          <cell r="B78" t="str">
            <v>Wx insulation (ceiling, floor), Z 4</v>
          </cell>
          <cell r="C78">
            <v>450.30187691249995</v>
          </cell>
          <cell r="D78">
            <v>2099</v>
          </cell>
          <cell r="E78">
            <v>45</v>
          </cell>
        </row>
        <row r="79">
          <cell r="A79" t="str">
            <v>R-GW128</v>
          </cell>
          <cell r="B79" t="str">
            <v>Wx insulation (add walls), Z 4</v>
          </cell>
          <cell r="C79">
            <v>379.38024886249991</v>
          </cell>
          <cell r="D79">
            <v>1305</v>
          </cell>
          <cell r="E79">
            <v>45</v>
          </cell>
        </row>
        <row r="80">
          <cell r="A80" t="str">
            <v>R-GW129</v>
          </cell>
          <cell r="B80" t="str">
            <v>Window, retro (U=.35), Z 4</v>
          </cell>
          <cell r="C80">
            <v>223.63618506250003</v>
          </cell>
          <cell r="D80">
            <v>4500</v>
          </cell>
          <cell r="E80">
            <v>45</v>
          </cell>
        </row>
        <row r="81">
          <cell r="A81" t="str">
            <v>R-GW130</v>
          </cell>
          <cell r="B81" t="str">
            <v>Window replace (U=.35), Z 4</v>
          </cell>
          <cell r="C81">
            <v>27.954523132812504</v>
          </cell>
          <cell r="D81">
            <v>350</v>
          </cell>
          <cell r="E81">
            <v>45</v>
          </cell>
        </row>
        <row r="82">
          <cell r="A82" t="str">
            <v>R-GW131</v>
          </cell>
          <cell r="B82" t="str">
            <v>HRV, Z 4</v>
          </cell>
          <cell r="C82">
            <v>89.166715462499965</v>
          </cell>
          <cell r="D82">
            <v>2000</v>
          </cell>
          <cell r="E82">
            <v>18</v>
          </cell>
        </row>
        <row r="83">
          <cell r="A83" t="str">
            <v>R-H101</v>
          </cell>
          <cell r="B83" t="str">
            <v>Duct Sealing, Zone 1</v>
          </cell>
          <cell r="C83">
            <v>87.5</v>
          </cell>
          <cell r="D83">
            <v>800</v>
          </cell>
          <cell r="E83">
            <v>20</v>
          </cell>
          <cell r="F83" t="str">
            <v>PTCS Duct Sealing</v>
          </cell>
          <cell r="G83" t="str">
            <v>PTCS Certified Duct Sealing</v>
          </cell>
        </row>
        <row r="84">
          <cell r="A84" t="str">
            <v>R-H102</v>
          </cell>
          <cell r="B84" t="str">
            <v>Duct Sealing, Zone 2</v>
          </cell>
          <cell r="C84">
            <v>77</v>
          </cell>
          <cell r="D84">
            <v>800</v>
          </cell>
          <cell r="E84">
            <v>20</v>
          </cell>
          <cell r="F84" t="str">
            <v>PTCS Duct Sealing</v>
          </cell>
          <cell r="G84" t="str">
            <v>PTCS Certified Duct Sealing</v>
          </cell>
        </row>
        <row r="85">
          <cell r="A85" t="str">
            <v>R-H103</v>
          </cell>
          <cell r="B85" t="str">
            <v>Duct Sealing, Zone 3</v>
          </cell>
          <cell r="C85">
            <v>113.4</v>
          </cell>
          <cell r="D85">
            <v>800</v>
          </cell>
          <cell r="E85">
            <v>20</v>
          </cell>
          <cell r="F85" t="str">
            <v>PTCS Duct Sealing</v>
          </cell>
          <cell r="G85" t="str">
            <v>PTCS Certified Duct Sealing</v>
          </cell>
        </row>
        <row r="86">
          <cell r="A86" t="str">
            <v>R-H104</v>
          </cell>
          <cell r="B86" t="str">
            <v>AFUE 90+ Furnace, Zone 1</v>
          </cell>
          <cell r="C86">
            <v>81.207699999999988</v>
          </cell>
          <cell r="D86">
            <v>800</v>
          </cell>
          <cell r="E86">
            <v>18</v>
          </cell>
          <cell r="F86" t="str">
            <v>90% AFUE New Gas Furnace (Existing)</v>
          </cell>
          <cell r="G86" t="str">
            <v>90% AFUE Rating</v>
          </cell>
        </row>
        <row r="87">
          <cell r="A87" t="str">
            <v>R-H105</v>
          </cell>
          <cell r="B87" t="str">
            <v>AFUE 90+ Furnace, Zone 2</v>
          </cell>
          <cell r="C87">
            <v>75.167400000000015</v>
          </cell>
          <cell r="D87">
            <v>800</v>
          </cell>
          <cell r="E87">
            <v>18</v>
          </cell>
          <cell r="F87" t="str">
            <v>90% AFUE New Gas Furnace (Existing)</v>
          </cell>
          <cell r="G87" t="str">
            <v>90% AFUE Rating</v>
          </cell>
        </row>
        <row r="88">
          <cell r="A88" t="str">
            <v>R-H106</v>
          </cell>
          <cell r="B88" t="str">
            <v>AFUE 90+ Furnace, Zone 3</v>
          </cell>
          <cell r="C88">
            <v>98.611099999999993</v>
          </cell>
          <cell r="D88">
            <v>800</v>
          </cell>
          <cell r="E88">
            <v>18</v>
          </cell>
          <cell r="F88" t="str">
            <v>90% AFUE New Gas Furnace (Existing)</v>
          </cell>
          <cell r="G88" t="str">
            <v>90% AFUE Rating</v>
          </cell>
        </row>
        <row r="89">
          <cell r="A89" t="str">
            <v>R-H107</v>
          </cell>
          <cell r="B89" t="str">
            <v>AFUE 85 DHW combo, Zone 1</v>
          </cell>
          <cell r="C89">
            <v>109.17087126137841</v>
          </cell>
          <cell r="D89">
            <v>2150</v>
          </cell>
          <cell r="E89">
            <v>18</v>
          </cell>
        </row>
        <row r="90">
          <cell r="A90" t="str">
            <v>R-H108</v>
          </cell>
          <cell r="B90" t="str">
            <v>AFUE 85 DHW combo, Zone 2</v>
          </cell>
          <cell r="C90">
            <v>101.45812743823147</v>
          </cell>
          <cell r="D90">
            <v>2150</v>
          </cell>
          <cell r="E90">
            <v>18</v>
          </cell>
        </row>
        <row r="91">
          <cell r="A91" t="str">
            <v>R-H109</v>
          </cell>
          <cell r="B91" t="str">
            <v>AFUE 85 DHW combo, Zone 3</v>
          </cell>
          <cell r="C91">
            <v>115.20416124837449</v>
          </cell>
          <cell r="D91">
            <v>2150</v>
          </cell>
          <cell r="E91">
            <v>18</v>
          </cell>
        </row>
        <row r="92">
          <cell r="A92" t="str">
            <v>R-H110</v>
          </cell>
          <cell r="B92" t="str">
            <v>Combo with Hot Water delivery, Zone 1</v>
          </cell>
          <cell r="C92">
            <v>297.25877763328992</v>
          </cell>
          <cell r="D92">
            <v>4000</v>
          </cell>
          <cell r="E92">
            <v>30</v>
          </cell>
        </row>
        <row r="93">
          <cell r="A93" t="str">
            <v>R-H111</v>
          </cell>
          <cell r="B93" t="str">
            <v>Combo with Hot Water delivery, Zone 2</v>
          </cell>
          <cell r="C93">
            <v>287.83198959687905</v>
          </cell>
          <cell r="D93">
            <v>4000</v>
          </cell>
          <cell r="E93">
            <v>30</v>
          </cell>
        </row>
        <row r="94">
          <cell r="A94" t="str">
            <v>R-H112</v>
          </cell>
          <cell r="B94" t="str">
            <v>Combo with Hot Water delivery, Zone 3</v>
          </cell>
          <cell r="C94">
            <v>326.50729999999999</v>
          </cell>
          <cell r="D94">
            <v>4000</v>
          </cell>
          <cell r="E94">
            <v>30</v>
          </cell>
        </row>
        <row r="95">
          <cell r="A95" t="str">
            <v>R-H113</v>
          </cell>
          <cell r="B95" t="str">
            <v>Duct Sealing and AFUE 90+, Zone 1</v>
          </cell>
          <cell r="C95">
            <v>172.73549999999997</v>
          </cell>
          <cell r="D95">
            <v>1250</v>
          </cell>
          <cell r="E95">
            <v>20</v>
          </cell>
          <cell r="F95" t="str">
            <v>90% Furnace &amp; PTCS Duct Sealing</v>
          </cell>
          <cell r="G95" t="str">
            <v>90% AFUE Rating</v>
          </cell>
        </row>
        <row r="96">
          <cell r="A96" t="str">
            <v>R-H114</v>
          </cell>
          <cell r="B96" t="str">
            <v>Duct Sealing and AFUE 90+, Zone 2</v>
          </cell>
          <cell r="C96">
            <v>160.37629999999999</v>
          </cell>
          <cell r="D96">
            <v>1250</v>
          </cell>
          <cell r="E96">
            <v>20</v>
          </cell>
          <cell r="F96" t="str">
            <v>90% Furnace &amp; PTCS Duct Sealing</v>
          </cell>
          <cell r="G96" t="str">
            <v>90% AFUE Rating</v>
          </cell>
        </row>
        <row r="97">
          <cell r="A97" t="str">
            <v>R-H115</v>
          </cell>
          <cell r="B97" t="str">
            <v>Duct Sealing and AFUE 90+, Zone 3</v>
          </cell>
          <cell r="C97">
            <v>210.43959999999998</v>
          </cell>
          <cell r="D97">
            <v>1250</v>
          </cell>
          <cell r="E97">
            <v>20</v>
          </cell>
          <cell r="F97" t="str">
            <v>90% Furnace &amp; PTCS Duct Sealing</v>
          </cell>
          <cell r="G97" t="str">
            <v>90% AFUE Rating</v>
          </cell>
        </row>
        <row r="98">
          <cell r="A98" t="str">
            <v>R-WG101</v>
          </cell>
          <cell r="B98" t="str">
            <v>Wx insulation 2 measures Zone 1</v>
          </cell>
          <cell r="C98">
            <v>228.30149999999998</v>
          </cell>
          <cell r="D98">
            <v>2400</v>
          </cell>
          <cell r="E98">
            <v>45</v>
          </cell>
        </row>
        <row r="99">
          <cell r="A99" t="str">
            <v>R-WG102</v>
          </cell>
          <cell r="B99" t="str">
            <v>Wx insulation 2 measures Zone 2</v>
          </cell>
          <cell r="C99">
            <v>221.84399999999997</v>
          </cell>
          <cell r="D99">
            <v>2400</v>
          </cell>
          <cell r="E99">
            <v>45</v>
          </cell>
        </row>
        <row r="100">
          <cell r="A100" t="str">
            <v>R-WG103</v>
          </cell>
          <cell r="B100" t="str">
            <v>Wx insulation 2 measures Zone 3</v>
          </cell>
          <cell r="C100">
            <v>258.29090000000002</v>
          </cell>
          <cell r="D100">
            <v>2400</v>
          </cell>
          <cell r="E100">
            <v>45</v>
          </cell>
        </row>
        <row r="101">
          <cell r="A101" t="str">
            <v>R-WG104</v>
          </cell>
          <cell r="B101" t="str">
            <v>Wx insulation 1 added measure Zone 1</v>
          </cell>
          <cell r="C101">
            <v>323.0514</v>
          </cell>
          <cell r="D101">
            <v>800</v>
          </cell>
          <cell r="E101">
            <v>45</v>
          </cell>
        </row>
        <row r="102">
          <cell r="A102" t="str">
            <v>R-WG105</v>
          </cell>
          <cell r="B102" t="str">
            <v>Wx insulation 1 added measure Zone 2</v>
          </cell>
          <cell r="C102">
            <v>313.69240000000002</v>
          </cell>
          <cell r="D102">
            <v>800</v>
          </cell>
          <cell r="E102">
            <v>45</v>
          </cell>
        </row>
        <row r="103">
          <cell r="A103" t="str">
            <v>R-WG106</v>
          </cell>
          <cell r="B103" t="str">
            <v>Wx insulation 1 added measure Zone 3</v>
          </cell>
          <cell r="C103">
            <v>367.34949999999998</v>
          </cell>
          <cell r="D103">
            <v>800</v>
          </cell>
          <cell r="E103">
            <v>45</v>
          </cell>
        </row>
        <row r="104">
          <cell r="A104" t="str">
            <v>R-WG107</v>
          </cell>
          <cell r="B104" t="str">
            <v>Window, replacement (U=.35) Zone 1</v>
          </cell>
          <cell r="C104">
            <v>474.95419999999996</v>
          </cell>
          <cell r="D104">
            <v>4500</v>
          </cell>
          <cell r="E104">
            <v>45</v>
          </cell>
        </row>
        <row r="105">
          <cell r="A105" t="str">
            <v>R-WG108</v>
          </cell>
          <cell r="B105" t="str">
            <v>Window, replacement (U=.35) Zone 2</v>
          </cell>
          <cell r="C105">
            <v>457.34780000000001</v>
          </cell>
          <cell r="D105">
            <v>4500</v>
          </cell>
          <cell r="E105">
            <v>45</v>
          </cell>
        </row>
        <row r="106">
          <cell r="A106" t="str">
            <v>R-WG109</v>
          </cell>
          <cell r="B106" t="str">
            <v>Window, replacement (U=.35) Zone 3</v>
          </cell>
          <cell r="C106">
            <v>543.73900000000003</v>
          </cell>
          <cell r="D106">
            <v>4500</v>
          </cell>
          <cell r="E106">
            <v>45</v>
          </cell>
        </row>
        <row r="107">
          <cell r="A107" t="str">
            <v>R-WG110</v>
          </cell>
          <cell r="B107" t="str">
            <v>Window upgrade (U=.4 to U=.35) Zone 1</v>
          </cell>
          <cell r="C107">
            <v>17.281599999999994</v>
          </cell>
          <cell r="D107">
            <v>350</v>
          </cell>
          <cell r="E107">
            <v>45</v>
          </cell>
        </row>
        <row r="108">
          <cell r="A108" t="str">
            <v>R-WG111</v>
          </cell>
          <cell r="B108" t="str">
            <v>Window upgrade (U=.4 to U=.35) Zone 2</v>
          </cell>
          <cell r="C108">
            <v>16.938599999999997</v>
          </cell>
          <cell r="D108">
            <v>350</v>
          </cell>
          <cell r="E108">
            <v>45</v>
          </cell>
        </row>
        <row r="109">
          <cell r="A109" t="str">
            <v>R-WG112</v>
          </cell>
          <cell r="B109" t="str">
            <v>Window upgrade (U=.4 to U=.35) Zone 3</v>
          </cell>
          <cell r="C109">
            <v>20.067599999999999</v>
          </cell>
          <cell r="D109">
            <v>350</v>
          </cell>
          <cell r="E109">
            <v>45</v>
          </cell>
        </row>
        <row r="110">
          <cell r="A110" t="str">
            <v>R-WG113</v>
          </cell>
          <cell r="B110" t="str">
            <v>HRV Zone 1</v>
          </cell>
          <cell r="C110">
            <v>65.181899999999999</v>
          </cell>
          <cell r="D110">
            <v>2000</v>
          </cell>
          <cell r="E110">
            <v>18</v>
          </cell>
        </row>
        <row r="111">
          <cell r="A111" t="str">
            <v>R-WG114</v>
          </cell>
          <cell r="B111" t="str">
            <v>HRV Zone 2</v>
          </cell>
          <cell r="C111">
            <v>63.179900000000011</v>
          </cell>
          <cell r="D111">
            <v>2000</v>
          </cell>
          <cell r="E111">
            <v>18</v>
          </cell>
        </row>
        <row r="112">
          <cell r="A112" t="str">
            <v>R-WG115</v>
          </cell>
          <cell r="B112" t="str">
            <v>HRV Zone 3</v>
          </cell>
          <cell r="C112">
            <v>73.857699999999994</v>
          </cell>
          <cell r="D112">
            <v>2000</v>
          </cell>
          <cell r="E112">
            <v>18</v>
          </cell>
        </row>
        <row r="113">
          <cell r="A113" t="str">
            <v>WALL</v>
          </cell>
          <cell r="B113" t="str">
            <v>WALL INSULATION ZONE 1</v>
          </cell>
          <cell r="C113">
            <v>119.46100000000001</v>
          </cell>
          <cell r="D113">
            <v>1184.5303867403316</v>
          </cell>
          <cell r="E113">
            <v>45</v>
          </cell>
          <cell r="F113" t="str">
            <v>Wall Insulation</v>
          </cell>
          <cell r="G113" t="str">
            <v>Equal to or Greater than R-11 to fill cavity</v>
          </cell>
        </row>
        <row r="114">
          <cell r="A114" t="str">
            <v>WALL</v>
          </cell>
          <cell r="B114" t="str">
            <v>WALL INSULATION ZONE 2</v>
          </cell>
          <cell r="C114">
            <v>115.89500000000001</v>
          </cell>
          <cell r="D114">
            <v>1188.5714285714289</v>
          </cell>
          <cell r="E114">
            <v>45</v>
          </cell>
          <cell r="F114" t="str">
            <v>Wall Insulation</v>
          </cell>
          <cell r="G114" t="str">
            <v>Equal to or Greater than R-11 to fill cavity</v>
          </cell>
        </row>
        <row r="115">
          <cell r="A115" t="str">
            <v>WALL</v>
          </cell>
          <cell r="B115" t="str">
            <v>WALL INSULATION ZONE3</v>
          </cell>
          <cell r="C115">
            <v>135.50800000000001</v>
          </cell>
          <cell r="D115">
            <v>1180.5825242718447</v>
          </cell>
          <cell r="E115">
            <v>45</v>
          </cell>
          <cell r="F115" t="str">
            <v>Wall Insulation</v>
          </cell>
          <cell r="G115" t="str">
            <v>Equal to or Greater than R-11 to fill cavity</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4"/>
      <sheetName val="2025"/>
      <sheetName val="Tariff"/>
      <sheetName val="APP 2885"/>
      <sheetName val="All TRC 2022 Measure Data"/>
      <sheetName val="Com Measure Mapping"/>
    </sheetNames>
    <sheetDataSet>
      <sheetData sheetId="0"/>
      <sheetData sheetId="1"/>
      <sheetData sheetId="2"/>
      <sheetData sheetId="3">
        <row r="1">
          <cell r="A1" t="str">
            <v>CASCADE NATURAL GAS CORPORATION</v>
          </cell>
        </row>
        <row r="2">
          <cell r="A2" t="str">
            <v>2018 INTEGRATED RESOURCE PLAN</v>
          </cell>
        </row>
        <row r="3">
          <cell r="A3" t="str">
            <v>PORTFOLIO COST APPENDIX 1 TABLE H</v>
          </cell>
        </row>
        <row r="4">
          <cell r="A4" t="str">
            <v>45 YEAR RESOURCE SUMMARY COSTS - MELDED COST PER THERM</v>
          </cell>
        </row>
        <row r="6">
          <cell r="G6" t="str">
            <v>PORTFOLIO 
 COSTS  WITH 
 CONSERVATION 
 CREDIT</v>
          </cell>
        </row>
        <row r="7">
          <cell r="A7">
            <v>2023</v>
          </cell>
          <cell r="G7">
            <v>1.4463728983446518</v>
          </cell>
        </row>
        <row r="8">
          <cell r="A8">
            <v>2024</v>
          </cell>
          <cell r="G8">
            <v>2.8214125099179874</v>
          </cell>
        </row>
        <row r="9">
          <cell r="A9">
            <v>2025</v>
          </cell>
          <cell r="G9">
            <v>4.0084477035997903</v>
          </cell>
        </row>
        <row r="10">
          <cell r="A10">
            <v>2026</v>
          </cell>
          <cell r="G10">
            <v>5.0564071491583338</v>
          </cell>
        </row>
        <row r="11">
          <cell r="A11">
            <v>2027</v>
          </cell>
          <cell r="G11">
            <v>6.1889206372376204</v>
          </cell>
        </row>
        <row r="12">
          <cell r="A12">
            <v>2028</v>
          </cell>
          <cell r="G12">
            <v>7.3028214586536784</v>
          </cell>
        </row>
        <row r="13">
          <cell r="A13">
            <v>2029</v>
          </cell>
          <cell r="G13">
            <v>8.4963473977586261</v>
          </cell>
        </row>
        <row r="14">
          <cell r="A14">
            <v>2030</v>
          </cell>
          <cell r="G14">
            <v>11.455346928243381</v>
          </cell>
        </row>
        <row r="15">
          <cell r="A15">
            <v>2031</v>
          </cell>
          <cell r="G15">
            <v>12.673219682768682</v>
          </cell>
        </row>
        <row r="16">
          <cell r="A16">
            <v>2032</v>
          </cell>
          <cell r="G16">
            <v>13.816372029027942</v>
          </cell>
        </row>
        <row r="17">
          <cell r="A17">
            <v>2033</v>
          </cell>
          <cell r="G17">
            <v>15.132843246505482</v>
          </cell>
        </row>
        <row r="18">
          <cell r="A18">
            <v>2034</v>
          </cell>
          <cell r="G18">
            <v>16.409665716886821</v>
          </cell>
        </row>
        <row r="19">
          <cell r="A19">
            <v>2035</v>
          </cell>
          <cell r="G19">
            <v>17.706283211561573</v>
          </cell>
        </row>
        <row r="20">
          <cell r="A20">
            <v>2036</v>
          </cell>
          <cell r="G20">
            <v>19.44053449645093</v>
          </cell>
        </row>
        <row r="21">
          <cell r="A21">
            <v>2037</v>
          </cell>
          <cell r="G21">
            <v>20.684017815022294</v>
          </cell>
        </row>
        <row r="22">
          <cell r="A22">
            <v>2038</v>
          </cell>
          <cell r="G22">
            <v>22.062293659325917</v>
          </cell>
        </row>
        <row r="23">
          <cell r="A23">
            <v>2039</v>
          </cell>
          <cell r="G23">
            <v>23.445046421976276</v>
          </cell>
        </row>
        <row r="24">
          <cell r="A24">
            <v>2040</v>
          </cell>
          <cell r="G24">
            <v>24.833710094641035</v>
          </cell>
        </row>
        <row r="25">
          <cell r="A25">
            <v>2041</v>
          </cell>
          <cell r="G25">
            <v>37.80316138977232</v>
          </cell>
        </row>
        <row r="26">
          <cell r="A26">
            <v>2042</v>
          </cell>
          <cell r="G26">
            <v>39.290027545558758</v>
          </cell>
        </row>
        <row r="27">
          <cell r="A27">
            <v>2043</v>
          </cell>
          <cell r="G27">
            <v>40.814094118448942</v>
          </cell>
        </row>
        <row r="28">
          <cell r="A28">
            <v>2044</v>
          </cell>
          <cell r="G28">
            <v>42.378557020565211</v>
          </cell>
        </row>
        <row r="29">
          <cell r="A29">
            <v>2045</v>
          </cell>
          <cell r="G29">
            <v>43.98686783699965</v>
          </cell>
        </row>
        <row r="30">
          <cell r="A30">
            <v>2046</v>
          </cell>
          <cell r="G30">
            <v>45.64235031635949</v>
          </cell>
        </row>
        <row r="31">
          <cell r="A31">
            <v>2047</v>
          </cell>
          <cell r="G31">
            <v>47.348328207251917</v>
          </cell>
        </row>
        <row r="32">
          <cell r="A32">
            <v>2048</v>
          </cell>
          <cell r="G32">
            <v>49.107741748829476</v>
          </cell>
        </row>
        <row r="33">
          <cell r="A33">
            <v>2049</v>
          </cell>
          <cell r="G33">
            <v>50.923659016729594</v>
          </cell>
        </row>
        <row r="34">
          <cell r="A34">
            <v>2050</v>
          </cell>
          <cell r="G34">
            <v>52.799020250104789</v>
          </cell>
        </row>
        <row r="35">
          <cell r="A35">
            <v>2051</v>
          </cell>
          <cell r="G35">
            <v>54.736254342168031</v>
          </cell>
        </row>
        <row r="36">
          <cell r="A36">
            <v>2052</v>
          </cell>
          <cell r="G36">
            <v>56.737918022617173</v>
          </cell>
        </row>
        <row r="37">
          <cell r="A37">
            <v>2053</v>
          </cell>
          <cell r="G37">
            <v>58.806568021150056</v>
          </cell>
        </row>
        <row r="38">
          <cell r="A38">
            <v>2054</v>
          </cell>
          <cell r="G38">
            <v>60.94476106746454</v>
          </cell>
        </row>
        <row r="39">
          <cell r="A39">
            <v>2055</v>
          </cell>
          <cell r="G39">
            <v>63.155053891258483</v>
          </cell>
        </row>
        <row r="40">
          <cell r="A40">
            <v>2056</v>
          </cell>
          <cell r="G40">
            <v>65.440003222229734</v>
          </cell>
        </row>
        <row r="41">
          <cell r="A41">
            <v>2057</v>
          </cell>
          <cell r="G41">
            <v>67.802549299530824</v>
          </cell>
        </row>
        <row r="42">
          <cell r="A42">
            <v>2058</v>
          </cell>
          <cell r="G42">
            <v>70.245376689344496</v>
          </cell>
        </row>
        <row r="43">
          <cell r="A43">
            <v>2059</v>
          </cell>
          <cell r="G43">
            <v>72.771297794338409</v>
          </cell>
        </row>
        <row r="44">
          <cell r="A44">
            <v>2060</v>
          </cell>
          <cell r="G44">
            <v>75.383252853665056</v>
          </cell>
        </row>
        <row r="45">
          <cell r="A45">
            <v>2061</v>
          </cell>
          <cell r="G45">
            <v>78.084437779446773</v>
          </cell>
        </row>
        <row r="46">
          <cell r="A46">
            <v>2062</v>
          </cell>
          <cell r="G46">
            <v>80.877792810836098</v>
          </cell>
        </row>
        <row r="47">
          <cell r="A47">
            <v>2063</v>
          </cell>
          <cell r="G47">
            <v>83.766769532925139</v>
          </cell>
        </row>
        <row r="48">
          <cell r="A48">
            <v>2064</v>
          </cell>
          <cell r="G48">
            <v>86.754563857836189</v>
          </cell>
        </row>
        <row r="49">
          <cell r="A49">
            <v>2065</v>
          </cell>
          <cell r="G49">
            <v>89.844627370661357</v>
          </cell>
        </row>
        <row r="50">
          <cell r="A50">
            <v>2066</v>
          </cell>
          <cell r="G50">
            <v>93.040539492977643</v>
          </cell>
        </row>
        <row r="51">
          <cell r="A51">
            <v>2067</v>
          </cell>
          <cell r="G51">
            <v>96.345879646362036</v>
          </cell>
        </row>
        <row r="52">
          <cell r="A52">
            <v>2068</v>
          </cell>
          <cell r="G52">
            <v>99.651219799746443</v>
          </cell>
        </row>
        <row r="53">
          <cell r="A53">
            <v>2069</v>
          </cell>
          <cell r="G53">
            <v>102.95655995313084</v>
          </cell>
        </row>
        <row r="54">
          <cell r="A54">
            <v>2070</v>
          </cell>
          <cell r="G54">
            <v>106.26190010651524</v>
          </cell>
        </row>
        <row r="55">
          <cell r="A55">
            <v>2071</v>
          </cell>
          <cell r="G55">
            <v>109.56724025989963</v>
          </cell>
        </row>
        <row r="56">
          <cell r="A56">
            <v>2072</v>
          </cell>
          <cell r="G56">
            <v>112.87258041328404</v>
          </cell>
        </row>
        <row r="58">
          <cell r="A58" t="str">
            <v>Cascade's Long Term Real Discount Rate:</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4"/>
    <pageSetUpPr fitToPage="1"/>
  </sheetPr>
  <dimension ref="B1:AR69"/>
  <sheetViews>
    <sheetView showGridLines="0" tabSelected="1" showOutlineSymbols="0" zoomScale="90" zoomScaleNormal="90" workbookViewId="0">
      <pane xSplit="8" ySplit="4" topLeftCell="J31" activePane="bottomRight" state="frozen"/>
      <selection pane="topRight" activeCell="H1" sqref="H1"/>
      <selection pane="bottomLeft" activeCell="A5" sqref="A5"/>
      <selection pane="bottomRight" activeCell="Z27" sqref="Z27"/>
    </sheetView>
  </sheetViews>
  <sheetFormatPr defaultColWidth="16.1640625" defaultRowHeight="12.75"/>
  <cols>
    <col min="1" max="1" width="6.1640625" customWidth="1"/>
    <col min="2" max="3" width="6.1640625" hidden="1" customWidth="1"/>
    <col min="4" max="4" width="30.83203125" style="1" customWidth="1"/>
    <col min="5" max="5" width="39.33203125" style="1" customWidth="1" collapsed="1"/>
    <col min="6" max="6" width="32" style="16" customWidth="1"/>
    <col min="7" max="8" width="36" style="16" customWidth="1"/>
    <col min="9" max="9" width="18" style="17" hidden="1" customWidth="1"/>
    <col min="10" max="10" width="17" style="2" customWidth="1"/>
    <col min="11" max="11" width="11.1640625" style="2" bestFit="1" customWidth="1"/>
    <col min="12" max="12" width="17.5" style="2" customWidth="1"/>
    <col min="13" max="13" width="14.6640625" style="2" customWidth="1"/>
    <col min="14" max="14" width="19.83203125" style="2" customWidth="1"/>
    <col min="15" max="15" width="13.33203125" style="15" hidden="1" customWidth="1"/>
    <col min="16" max="18" width="16.6640625" style="15" hidden="1" customWidth="1"/>
    <col min="19" max="19" width="19" style="15" customWidth="1"/>
    <col min="20" max="20" width="18" style="15" hidden="1" customWidth="1"/>
    <col min="21" max="21" width="20.6640625" style="15" customWidth="1"/>
    <col min="22" max="24" width="18.83203125" style="1" customWidth="1"/>
    <col min="25" max="25" width="20.1640625" style="1" customWidth="1"/>
    <col min="26" max="26" width="16" style="1" customWidth="1"/>
    <col min="27" max="27" width="23.1640625" style="1" customWidth="1"/>
    <col min="28" max="28" width="13.5" style="1" customWidth="1"/>
    <col min="29" max="29" width="18.5" style="1" customWidth="1"/>
    <col min="30" max="30" width="19.5" style="1" customWidth="1"/>
    <col min="31" max="31" width="19.6640625" style="1" customWidth="1"/>
    <col min="32" max="32" width="20" style="2" customWidth="1"/>
    <col min="33" max="33" width="14.33203125" style="2" customWidth="1"/>
    <col min="34" max="34" width="21.33203125" style="2" customWidth="1"/>
    <col min="35" max="35" width="19.83203125" style="2" customWidth="1"/>
    <col min="36" max="36" width="18.6640625" style="18" customWidth="1"/>
    <col min="37" max="37" width="13.83203125" style="2" customWidth="1"/>
    <col min="38" max="38" width="18.83203125" style="2" customWidth="1"/>
    <col min="39" max="39" width="21.1640625" style="2" customWidth="1"/>
    <col min="40" max="40" width="18.33203125" style="2" customWidth="1"/>
    <col min="41" max="41" width="18" style="2" customWidth="1"/>
    <col min="42" max="42" width="23.5" style="1" customWidth="1"/>
    <col min="43" max="44" width="16.1640625" hidden="1" customWidth="1"/>
  </cols>
  <sheetData>
    <row r="1" spans="2:44" ht="27.75" customHeight="1" thickBot="1">
      <c r="D1" s="55" t="s">
        <v>22</v>
      </c>
      <c r="E1" s="205" t="s">
        <v>1</v>
      </c>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row>
    <row r="2" spans="2:44" ht="22.5" customHeight="1" thickBot="1">
      <c r="D2" s="55">
        <v>2024</v>
      </c>
      <c r="E2" s="206" t="s">
        <v>20</v>
      </c>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1" t="s">
        <v>800</v>
      </c>
    </row>
    <row r="3" spans="2:44" ht="22.5" customHeight="1" thickBot="1">
      <c r="D3" s="177" t="s">
        <v>798</v>
      </c>
      <c r="E3" s="178" t="s">
        <v>799</v>
      </c>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90"/>
      <c r="AQ3" s="1" t="s">
        <v>799</v>
      </c>
    </row>
    <row r="4" spans="2:44" ht="51.75" thickBot="1">
      <c r="B4" s="1" t="s">
        <v>821</v>
      </c>
      <c r="C4" s="1" t="s">
        <v>820</v>
      </c>
      <c r="D4" s="45" t="s">
        <v>263</v>
      </c>
      <c r="E4" s="45" t="s">
        <v>2</v>
      </c>
      <c r="F4" s="45" t="s">
        <v>7</v>
      </c>
      <c r="G4" s="45" t="s">
        <v>10</v>
      </c>
      <c r="H4" s="45" t="s">
        <v>801</v>
      </c>
      <c r="I4" s="45" t="s">
        <v>824</v>
      </c>
      <c r="J4" s="45" t="s">
        <v>262</v>
      </c>
      <c r="K4" s="45" t="s">
        <v>261</v>
      </c>
      <c r="L4" s="179" t="s">
        <v>803</v>
      </c>
      <c r="M4" s="179" t="s">
        <v>804</v>
      </c>
      <c r="N4" s="45" t="s">
        <v>805</v>
      </c>
      <c r="O4" s="45" t="s">
        <v>823</v>
      </c>
      <c r="P4" s="179" t="s">
        <v>802</v>
      </c>
      <c r="Q4" s="179" t="s">
        <v>815</v>
      </c>
      <c r="R4" s="179" t="s">
        <v>816</v>
      </c>
      <c r="S4" s="45" t="s">
        <v>814</v>
      </c>
      <c r="T4" s="45" t="s">
        <v>817</v>
      </c>
      <c r="U4" s="45" t="s">
        <v>251</v>
      </c>
      <c r="V4" s="45" t="s">
        <v>252</v>
      </c>
      <c r="W4" s="179" t="s">
        <v>806</v>
      </c>
      <c r="X4" s="45" t="s">
        <v>807</v>
      </c>
      <c r="Y4" s="45" t="s">
        <v>253</v>
      </c>
      <c r="Z4" s="45" t="s">
        <v>254</v>
      </c>
      <c r="AA4" s="45" t="s">
        <v>255</v>
      </c>
      <c r="AB4" s="45" t="s">
        <v>256</v>
      </c>
      <c r="AC4" s="179" t="s">
        <v>808</v>
      </c>
      <c r="AD4" s="45" t="s">
        <v>809</v>
      </c>
      <c r="AE4" s="45" t="s">
        <v>257</v>
      </c>
      <c r="AF4" s="45" t="s">
        <v>258</v>
      </c>
      <c r="AG4" s="45" t="s">
        <v>259</v>
      </c>
      <c r="AH4" s="179" t="s">
        <v>810</v>
      </c>
      <c r="AI4" s="45" t="s">
        <v>811</v>
      </c>
      <c r="AJ4" s="45" t="s">
        <v>260</v>
      </c>
      <c r="AK4" s="45" t="s">
        <v>250</v>
      </c>
      <c r="AL4" s="45" t="s">
        <v>249</v>
      </c>
      <c r="AM4" s="45" t="s">
        <v>245</v>
      </c>
      <c r="AN4" s="45" t="s">
        <v>246</v>
      </c>
      <c r="AO4" s="45" t="s">
        <v>247</v>
      </c>
      <c r="AP4" s="45" t="s">
        <v>248</v>
      </c>
    </row>
    <row r="5" spans="2:44" ht="13.5" thickBot="1">
      <c r="B5" s="142" t="str">
        <f t="shared" ref="B5:B41" si="0">E5&amp;"_"&amp;H5</f>
        <v>Boiler_TE 94% (ENERGY STAR 1.0)</v>
      </c>
      <c r="C5" s="142" t="str">
        <f t="shared" ref="C5:C41" si="1">E5&amp;"_"&amp;G5</f>
        <v>Boiler_Minimum 90% Thermal Efficiency and 300 kBtu/hr input</v>
      </c>
      <c r="D5" s="137" t="s">
        <v>288</v>
      </c>
      <c r="E5" s="137" t="s">
        <v>25</v>
      </c>
      <c r="F5" s="137" t="s">
        <v>68</v>
      </c>
      <c r="G5" s="138" t="s">
        <v>65</v>
      </c>
      <c r="H5" s="138" t="s">
        <v>690</v>
      </c>
      <c r="I5" s="52">
        <f>COUNTIF('All TRC 2022 Measure Data'!$B:$B,D5)</f>
        <v>19</v>
      </c>
      <c r="J5" s="162">
        <v>2.1</v>
      </c>
      <c r="K5" s="53" t="s">
        <v>55</v>
      </c>
      <c r="L5" s="180">
        <f>IFERROR(INDEX('Com Measure Mapping'!$T:$T,MATCH($C5,'Com Measure Mapping'!$B:$B,0)),"N/A")</f>
        <v>1.7758629074935079</v>
      </c>
      <c r="M5" s="181" t="str">
        <f>IFERROR(INDEX('Com Measure Mapping'!$U:$U,MATCH($C5,'Com Measure Mapping'!$B:$B,0)),"N/A")</f>
        <v>kBtu/hr</v>
      </c>
      <c r="N5" s="182">
        <v>1.68</v>
      </c>
      <c r="O5" s="67">
        <f>SUMIF('All TRC 2022 Measure Data'!$B:$B,D5,'All TRC 2022 Measure Data'!$W:$W)</f>
        <v>28696</v>
      </c>
      <c r="P5" s="184">
        <f>IFERROR(INDEX('Com Measure Mapping'!$Y:$Y,MATCH($C5,'Com Measure Mapping'!$B:$B,0)),"N/A")</f>
        <v>38.567084101783841</v>
      </c>
      <c r="Q5" s="184">
        <f>IFERROR(INDEX('Com Measure Mapping'!$Z:$Z,MATCH($C5,'Com Measure Mapping'!$B:$B,0)),"N/A")</f>
        <v>40.566939475962272</v>
      </c>
      <c r="R5" s="185">
        <f t="shared" ref="R5:R41" si="2">IFERROR((Q5-P5)/P5,"N/A")</f>
        <v>5.185394283115978E-2</v>
      </c>
      <c r="S5" s="186">
        <f>ROUND((O5/(6/12))*0.55,0)</f>
        <v>31566</v>
      </c>
      <c r="T5" s="186">
        <f>ROUND(IFERROR((S5*IF(R5&gt;50%,(1+(R5-19.5%)),(1+R5))),S5),0)</f>
        <v>33203</v>
      </c>
      <c r="U5" s="168">
        <f>IF($E$3="Original",ROUNDDOWN(O5*J5,2),ROUNDDOWN(S5*N5,2))</f>
        <v>53030.879999999997</v>
      </c>
      <c r="V5" s="168"/>
      <c r="W5" s="187">
        <f>IFERROR(INDEX('Com Measure Mapping'!$V:$V,MATCH($C5,'Com Measure Mapping'!$B:$B,0)),"N/A")</f>
        <v>1.3575815899374213</v>
      </c>
      <c r="X5" s="64">
        <v>10.74</v>
      </c>
      <c r="Y5" s="64">
        <f>IF($E$3="Original",O5*V5,S5*X5)</f>
        <v>339018.84</v>
      </c>
      <c r="Z5" s="64">
        <f t="shared" ref="Z5:Z42" si="3">IF($E$3="Original",PV($E$54,$AB5,(-0.05*0.9*$J5)),PV($E$54,$AD5,(-0.05*0.9*$N5)))</f>
        <v>1.0591241189104392</v>
      </c>
      <c r="AA5" s="64">
        <f t="shared" ref="AA5:AA40" si="4">IF($E$3="Original",MAX(0,O5*(V5-Z5)),MAX(0,S5*(X5-Z5)))</f>
        <v>305586.52806247305</v>
      </c>
      <c r="AB5" s="52">
        <v>25</v>
      </c>
      <c r="AC5" s="189">
        <f>IFERROR(INDEX('Com Measure Mapping'!$W:$W,MATCH($C5,'Com Measure Mapping'!$B:$B,0)),"N/A")</f>
        <v>25</v>
      </c>
      <c r="AD5" s="188">
        <f>IF(AC5="N/A",AB5,AC5)</f>
        <v>25</v>
      </c>
      <c r="AE5" s="147">
        <f t="shared" ref="AE5:AE42" si="5">IF($E$3="Original",PV($E$54,AB5,-U5),PV($E$54,AD5,-U5))</f>
        <v>742940.26527837606</v>
      </c>
      <c r="AF5" s="145">
        <f>$E$57*U5/SUM($U$5:$U$42)</f>
        <v>167706.87756063638</v>
      </c>
      <c r="AG5" s="54">
        <v>10</v>
      </c>
      <c r="AH5" s="191">
        <f>IFERROR(INDEX('Com Measure Mapping'!$X:$X,MATCH($C5,'Com Measure Mapping'!$B:$B,0)),"N/A")</f>
        <v>10.245457087567534</v>
      </c>
      <c r="AI5" s="54">
        <v>10.245457087567534</v>
      </c>
      <c r="AJ5" s="145">
        <f>IF($E$3="Original",O5*AG5,S5*AI5)</f>
        <v>323408.09842615679</v>
      </c>
      <c r="AK5" s="156">
        <f t="shared" ref="AK5:AK22" si="6">IF(ISERROR(AJ5/AE5),0,AJ5/AE5)</f>
        <v>0.43530834649940175</v>
      </c>
      <c r="AL5" s="157">
        <f t="shared" ref="AL5:AL41" si="7">IF(AE5=0,0,(AJ5+AF5)/AE5)</f>
        <v>0.66104234612021573</v>
      </c>
      <c r="AM5" s="163">
        <f>IFERROR(IF($E$3="Original",IF($AJ5=0,"-",(INDEX('APP 2885'!$G:$G,MATCH($D$2+$AB5-1,'APP 2885'!$A:$A,0))*$U5)/($AJ5+$AF5)),IF($AJ5=0,"-",(INDEX('APP 2885'!$G:$G,MATCH($D$2+$AD5-1,'APP 2885'!$A:$A,0))*$U5)/($AJ5+$AF5))),"N/A")</f>
        <v>5.3026824411544666</v>
      </c>
      <c r="AN5" s="64">
        <f t="shared" ref="AN5:AN41" si="8">IF(ISERROR(AA5/AE5),0,AA5/AE5)</f>
        <v>0.41132045514853244</v>
      </c>
      <c r="AO5" s="64">
        <f t="shared" ref="AO5:AO41" si="9">IF(AE5=0,0,(AA5+AF5)/AE5)</f>
        <v>0.63705445476934641</v>
      </c>
      <c r="AP5" s="163">
        <f>IFERROR(IF($E$3="Original",IF($AA5=0,"-",(INDEX('APP 2885'!$E:$E,MATCH($D$2+$AB5-1,'APP 2885'!$A:$A,0))*$U5)/(AA5+AF5)),IF($AA5=0,"-",(INDEX('APP 2885'!$E:$E,MATCH($D$2+$AD5-1,'APP 2885'!$A:$A,0))*$U5)/(AA5+AF5))),"N/A")</f>
        <v>5.0021378797492417</v>
      </c>
    </row>
    <row r="6" spans="2:44" ht="13.5" thickBot="1">
      <c r="B6" s="142" t="str">
        <f t="shared" si="0"/>
        <v>Boiler Steam Trap_Minimum 300 kBtu input and steam pressures at 7psig or greater</v>
      </c>
      <c r="C6" s="142" t="str">
        <f t="shared" si="1"/>
        <v>Boiler Steam Trap_Minimum 300 kBtu input and steam pressures at 7psig or greater</v>
      </c>
      <c r="D6" s="135" t="s">
        <v>112</v>
      </c>
      <c r="E6" s="135" t="s">
        <v>84</v>
      </c>
      <c r="F6" s="135" t="s">
        <v>95</v>
      </c>
      <c r="G6" s="136" t="s">
        <v>96</v>
      </c>
      <c r="H6" s="136" t="str">
        <f>G6</f>
        <v>Minimum 300 kBtu input and steam pressures at 7psig or greater</v>
      </c>
      <c r="I6" s="47">
        <f>COUNTIF('All TRC 2022 Measure Data'!$B:$B,D6)</f>
        <v>0</v>
      </c>
      <c r="J6" s="164">
        <v>136.9</v>
      </c>
      <c r="K6" s="48" t="s">
        <v>21</v>
      </c>
      <c r="L6" s="164">
        <f>IFERROR(INDEX('Com Measure Mapping'!$T:$T,MATCH($C6,'Com Measure Mapping'!$B:$B,0)),"N/A")</f>
        <v>137.44617346101299</v>
      </c>
      <c r="M6" s="66" t="str">
        <f>IFERROR(INDEX('Com Measure Mapping'!$U:$U,MATCH($C6,'Com Measure Mapping'!$B:$B,0)),"N/A")</f>
        <v>BoilerCtrl</v>
      </c>
      <c r="N6" s="183">
        <f t="shared" ref="N6:N41" si="10">IF(L6="N/A",J6,L6)</f>
        <v>137.44617346101299</v>
      </c>
      <c r="O6" s="66">
        <f>SUMIF('All TRC 2022 Measure Data'!$B:$B,D6,'All TRC 2022 Measure Data'!$W:$W)</f>
        <v>0</v>
      </c>
      <c r="P6" s="165">
        <f>IFERROR(INDEX('Com Measure Mapping'!$Y:$Y,MATCH($C6,'Com Measure Mapping'!$B:$B,0)),"N/A")</f>
        <v>40.228135201444978</v>
      </c>
      <c r="Q6" s="165">
        <f>IFERROR(INDEX('Com Measure Mapping'!$Z:$Z,MATCH($C6,'Com Measure Mapping'!$B:$B,0)),"N/A")</f>
        <v>39.423572497416075</v>
      </c>
      <c r="R6" s="167">
        <f t="shared" si="2"/>
        <v>-2.0000000000000094E-2</v>
      </c>
      <c r="S6" s="166">
        <f>ROUND((P6*10%)*0.55,0)</f>
        <v>2</v>
      </c>
      <c r="T6" s="166">
        <f t="shared" ref="T6:T42" si="11">ROUND(IFERROR((S6*IF(R6&gt;50%,(1+(R6-19.5%)),(1+R6))),S6),0)</f>
        <v>2</v>
      </c>
      <c r="U6" s="66">
        <f t="shared" ref="U6:U41" si="12">IF($E$3="Original",ROUNDDOWN(O6*J6,2),ROUNDDOWN(S6*N6,2))</f>
        <v>274.89</v>
      </c>
      <c r="V6" s="66"/>
      <c r="W6" s="143">
        <f>IFERROR(INDEX('Com Measure Mapping'!$V:$V,MATCH($C6,'Com Measure Mapping'!$B:$B,0)),"N/A")</f>
        <v>75.61</v>
      </c>
      <c r="X6" s="63">
        <v>315</v>
      </c>
      <c r="Y6" s="63">
        <f t="shared" ref="Y6:Y40" si="13">IF($E$3="Original",O6*V6,S6*X6)</f>
        <v>630</v>
      </c>
      <c r="Z6" s="63">
        <f t="shared" si="3"/>
        <v>31.333402113970635</v>
      </c>
      <c r="AA6" s="63">
        <f t="shared" si="4"/>
        <v>567.33319577205873</v>
      </c>
      <c r="AB6" s="47">
        <v>7</v>
      </c>
      <c r="AC6" s="47">
        <f>IFERROR(INDEX('Com Measure Mapping'!$W:$W,MATCH($C6,'Com Measure Mapping'!$B:$B,0)),"N/A")</f>
        <v>6</v>
      </c>
      <c r="AD6" s="190">
        <f t="shared" ref="AD6:AD42" si="14">IF(AC6="N/A",AB6,AC6)</f>
        <v>6</v>
      </c>
      <c r="AE6" s="146">
        <f t="shared" si="5"/>
        <v>1392.5837600794898</v>
      </c>
      <c r="AF6" s="144">
        <f t="shared" ref="AF6:AF42" si="15">$E$57*U6/SUM($U$5:$U$42)</f>
        <v>869.32262056830541</v>
      </c>
      <c r="AG6" s="49">
        <v>125</v>
      </c>
      <c r="AH6" s="49">
        <f>IFERROR(INDEX('Com Measure Mapping'!$X:$X,MATCH($C6,'Com Measure Mapping'!$B:$B,0)),"N/A")</f>
        <v>69.732542222222222</v>
      </c>
      <c r="AI6" s="49">
        <v>125</v>
      </c>
      <c r="AJ6" s="144">
        <f t="shared" ref="AJ6:AJ41" si="16">IF($E$3="Original",O6*AG6,S6*AI6)</f>
        <v>250</v>
      </c>
      <c r="AK6" s="154">
        <f t="shared" si="6"/>
        <v>0.17952241521596504</v>
      </c>
      <c r="AL6" s="155">
        <f t="shared" si="7"/>
        <v>0.8037740010011416</v>
      </c>
      <c r="AM6" s="70">
        <f>IFERROR(IF($E$3="Original",IF($AJ6=0,"-",(INDEX('APP 2885'!$G:$G,MATCH($D$2+$AB6-1,'APP 2885'!$A:$A,0))*$U6)/($AJ6+$AF6)),IF($AJ6=0,"-",(INDEX('APP 2885'!$G:$G,MATCH($D$2+$AD6-1,'APP 2885'!$A:$A,0))*$U6)/($AJ6+$AF6))),"N/A")</f>
        <v>2.0865842369772278</v>
      </c>
      <c r="AN6" s="63">
        <f t="shared" si="8"/>
        <v>0.40739610214876759</v>
      </c>
      <c r="AO6" s="63">
        <f t="shared" si="9"/>
        <v>1.0316476879339442</v>
      </c>
      <c r="AP6" s="70">
        <f>IFERROR(IF($E$3="Original",IF($AA6=0,"-",(INDEX('APP 2885'!$E:$E,MATCH($D$2+$AB6-1,'APP 2885'!$A:$A,0))*$U6)/(AA6+AF6)),IF($AA6=0,"-",(INDEX('APP 2885'!$E:$E,MATCH($D$2+$AD6-1,'APP 2885'!$A:$A,0))*$U6)/(AA6+AF6))),"N/A")</f>
        <v>1.4779024944947947</v>
      </c>
    </row>
    <row r="7" spans="2:44" ht="13.5" thickBot="1">
      <c r="B7" s="142" t="str">
        <f t="shared" si="0"/>
        <v>Bonus - HVAC_</v>
      </c>
      <c r="C7" s="142" t="str">
        <f t="shared" si="1"/>
        <v>Bonus - HVAC_</v>
      </c>
      <c r="D7" s="137" t="s">
        <v>302</v>
      </c>
      <c r="E7" s="137" t="s">
        <v>212</v>
      </c>
      <c r="F7" s="137" t="s">
        <v>213</v>
      </c>
      <c r="G7" s="138" t="s">
        <v>173</v>
      </c>
      <c r="H7" s="138" t="str">
        <f t="shared" ref="H7:H42" si="17">G7</f>
        <v/>
      </c>
      <c r="I7" s="52">
        <f>COUNTIF('All TRC 2022 Measure Data'!$B:$B,D7)</f>
        <v>0</v>
      </c>
      <c r="J7" s="162"/>
      <c r="K7" s="53" t="s">
        <v>173</v>
      </c>
      <c r="L7" s="180" t="str">
        <f>IFERROR(INDEX('Com Measure Mapping'!$T:$T,MATCH($C7,'Com Measure Mapping'!$B:$B,0)),"N/A")</f>
        <v>N/A</v>
      </c>
      <c r="M7" s="181" t="str">
        <f>IFERROR(INDEX('Com Measure Mapping'!$U:$U,MATCH($C7,'Com Measure Mapping'!$B:$B,0)),"N/A")</f>
        <v>N/A</v>
      </c>
      <c r="N7" s="182">
        <f t="shared" si="10"/>
        <v>0</v>
      </c>
      <c r="O7" s="67">
        <f>SUMIF('All TRC 2022 Measure Data'!$B:$B,D7,'All TRC 2022 Measure Data'!$W:$W)</f>
        <v>0</v>
      </c>
      <c r="P7" s="184" t="str">
        <f>IFERROR(INDEX('Com Measure Mapping'!$Y:$Y,MATCH($C7,'Com Measure Mapping'!$B:$B,0)),"N/A")</f>
        <v>N/A</v>
      </c>
      <c r="Q7" s="184" t="str">
        <f>IFERROR(INDEX('Com Measure Mapping'!$Z:$Z,MATCH($C7,'Com Measure Mapping'!$B:$B,0)),"N/A")</f>
        <v>N/A</v>
      </c>
      <c r="R7" s="185" t="str">
        <f t="shared" si="2"/>
        <v>N/A</v>
      </c>
      <c r="S7" s="186">
        <f t="shared" ref="S7:S12" si="18">ROUND((O7/(6/12))*0.55,0)</f>
        <v>0</v>
      </c>
      <c r="T7" s="186">
        <f t="shared" si="11"/>
        <v>0</v>
      </c>
      <c r="U7" s="168">
        <f t="shared" si="12"/>
        <v>0</v>
      </c>
      <c r="V7" s="168"/>
      <c r="W7" s="187" t="str">
        <f>IFERROR(INDEX('Com Measure Mapping'!$V:$V,MATCH($C7,'Com Measure Mapping'!$B:$B,0)),"N/A")</f>
        <v>N/A</v>
      </c>
      <c r="X7" s="64">
        <v>0</v>
      </c>
      <c r="Y7" s="64">
        <f t="shared" si="13"/>
        <v>0</v>
      </c>
      <c r="Z7" s="64">
        <f t="shared" si="3"/>
        <v>0</v>
      </c>
      <c r="AA7" s="64">
        <f t="shared" si="4"/>
        <v>0</v>
      </c>
      <c r="AB7" s="52">
        <v>0</v>
      </c>
      <c r="AC7" s="189" t="str">
        <f>IFERROR(INDEX('Com Measure Mapping'!$W:$W,MATCH($C7,'Com Measure Mapping'!$B:$B,0)),"N/A")</f>
        <v>N/A</v>
      </c>
      <c r="AD7" s="188">
        <f t="shared" si="14"/>
        <v>0</v>
      </c>
      <c r="AE7" s="147">
        <f t="shared" si="5"/>
        <v>0</v>
      </c>
      <c r="AF7" s="145">
        <f t="shared" si="15"/>
        <v>0</v>
      </c>
      <c r="AG7" s="54">
        <v>100</v>
      </c>
      <c r="AH7" s="191" t="str">
        <f>IFERROR(INDEX('Com Measure Mapping'!$X:$X,MATCH($C7,'Com Measure Mapping'!$B:$B,0)),"N/A")</f>
        <v>N/A</v>
      </c>
      <c r="AI7" s="54">
        <v>100</v>
      </c>
      <c r="AJ7" s="145">
        <f t="shared" si="16"/>
        <v>0</v>
      </c>
      <c r="AK7" s="156">
        <f t="shared" si="6"/>
        <v>0</v>
      </c>
      <c r="AL7" s="157">
        <f t="shared" si="7"/>
        <v>0</v>
      </c>
      <c r="AM7" s="163" t="str">
        <f>IFERROR(IF($E$3="Original",IF($AJ7=0,"-",(INDEX('APP 2885'!$G:$G,MATCH($D$2+$AB7-1,'APP 2885'!$A:$A,0))*$U7)/($AJ7+$AF7)),IF($AJ7=0,"-",(INDEX('APP 2885'!$G:$G,MATCH($D$2+$AD7-1,'APP 2885'!$A:$A,0))*$U7)/($AJ7+$AF7))),"N/A")</f>
        <v>-</v>
      </c>
      <c r="AN7" s="64">
        <f t="shared" si="8"/>
        <v>0</v>
      </c>
      <c r="AO7" s="64">
        <f t="shared" si="9"/>
        <v>0</v>
      </c>
      <c r="AP7" s="163" t="str">
        <f>IFERROR(IF($E$3="Original",IF($AA7=0,"-",(INDEX('APP 2885'!$E:$E,MATCH($D$2+$AB7-1,'APP 2885'!$A:$A,0))*$U7)/(AA7+AF7)),IF($AA7=0,"-",(INDEX('APP 2885'!$E:$E,MATCH($D$2+$AD7-1,'APP 2885'!$A:$A,0))*$U7)/(AA7+AF7))),"N/A")</f>
        <v>-</v>
      </c>
      <c r="AR7" s="203">
        <f>(INDEX('[5]APP 2885'!$G:$G,MATCH($D$2+$AD7-1,'[5]APP 2885'!$A:$A,0))*$U7)/($AI7+$AF7)</f>
        <v>0</v>
      </c>
    </row>
    <row r="8" spans="2:44" ht="13.5" thickBot="1">
      <c r="B8" s="142" t="str">
        <f t="shared" si="0"/>
        <v>Bonus - Insulation Bundle A_Two Insulation Measures, min. 1000 sq. ft.+</v>
      </c>
      <c r="C8" s="142" t="str">
        <f t="shared" si="1"/>
        <v>Bonus - Insulation Bundle A_Two Insulation Measures, min. 1000 sq. ft.+</v>
      </c>
      <c r="D8" s="135" t="s">
        <v>198</v>
      </c>
      <c r="E8" s="135" t="s">
        <v>32</v>
      </c>
      <c r="F8" s="135" t="s">
        <v>33</v>
      </c>
      <c r="G8" s="136" t="s">
        <v>34</v>
      </c>
      <c r="H8" s="136" t="str">
        <f t="shared" si="17"/>
        <v>Two Insulation Measures, min. 1000 sq. ft.+</v>
      </c>
      <c r="I8" s="47">
        <f>COUNTIF('All TRC 2022 Measure Data'!$B:$B,D8)</f>
        <v>3</v>
      </c>
      <c r="J8" s="164"/>
      <c r="K8" s="48" t="s">
        <v>21</v>
      </c>
      <c r="L8" s="164" t="str">
        <f>IFERROR(INDEX('Com Measure Mapping'!$T:$T,MATCH($C8,'Com Measure Mapping'!$B:$B,0)),"N/A")</f>
        <v>N/A</v>
      </c>
      <c r="M8" s="66" t="str">
        <f>IFERROR(INDEX('Com Measure Mapping'!$U:$U,MATCH($C8,'Com Measure Mapping'!$B:$B,0)),"N/A")</f>
        <v>N/A</v>
      </c>
      <c r="N8" s="183">
        <f t="shared" si="10"/>
        <v>0</v>
      </c>
      <c r="O8" s="66">
        <f>SUMIF('All TRC 2022 Measure Data'!$B:$B,D8,'All TRC 2022 Measure Data'!$W:$W)</f>
        <v>3</v>
      </c>
      <c r="P8" s="165" t="str">
        <f>IFERROR(INDEX('Com Measure Mapping'!$Y:$Y,MATCH($C8,'Com Measure Mapping'!$B:$B,0)),"N/A")</f>
        <v>N/A</v>
      </c>
      <c r="Q8" s="165" t="str">
        <f>IFERROR(INDEX('Com Measure Mapping'!$Z:$Z,MATCH($C8,'Com Measure Mapping'!$B:$B,0)),"N/A")</f>
        <v>N/A</v>
      </c>
      <c r="R8" s="167" t="str">
        <f t="shared" si="2"/>
        <v>N/A</v>
      </c>
      <c r="S8" s="166">
        <f t="shared" si="18"/>
        <v>3</v>
      </c>
      <c r="T8" s="166">
        <f t="shared" si="11"/>
        <v>3</v>
      </c>
      <c r="U8" s="66">
        <f t="shared" si="12"/>
        <v>0</v>
      </c>
      <c r="V8" s="66"/>
      <c r="W8" s="143" t="str">
        <f>IFERROR(INDEX('Com Measure Mapping'!$V:$V,MATCH($C8,'Com Measure Mapping'!$B:$B,0)),"N/A")</f>
        <v>N/A</v>
      </c>
      <c r="X8" s="63">
        <v>0</v>
      </c>
      <c r="Y8" s="63">
        <f t="shared" si="13"/>
        <v>0</v>
      </c>
      <c r="Z8" s="63">
        <f t="shared" si="3"/>
        <v>0</v>
      </c>
      <c r="AA8" s="63">
        <f t="shared" si="4"/>
        <v>0</v>
      </c>
      <c r="AB8" s="47"/>
      <c r="AC8" s="47" t="str">
        <f>IFERROR(INDEX('Com Measure Mapping'!$W:$W,MATCH($C8,'Com Measure Mapping'!$B:$B,0)),"N/A")</f>
        <v>N/A</v>
      </c>
      <c r="AD8" s="190">
        <f t="shared" si="14"/>
        <v>0</v>
      </c>
      <c r="AE8" s="146">
        <f t="shared" si="5"/>
        <v>0</v>
      </c>
      <c r="AF8" s="144">
        <f t="shared" si="15"/>
        <v>0</v>
      </c>
      <c r="AG8" s="49">
        <v>500</v>
      </c>
      <c r="AH8" s="49" t="str">
        <f>IFERROR(INDEX('Com Measure Mapping'!$X:$X,MATCH($C8,'Com Measure Mapping'!$B:$B,0)),"N/A")</f>
        <v>N/A</v>
      </c>
      <c r="AI8" s="49">
        <v>500</v>
      </c>
      <c r="AJ8" s="144">
        <f t="shared" si="16"/>
        <v>1500</v>
      </c>
      <c r="AK8" s="154">
        <f t="shared" si="6"/>
        <v>0</v>
      </c>
      <c r="AL8" s="155">
        <f t="shared" si="7"/>
        <v>0</v>
      </c>
      <c r="AM8" s="70">
        <f>IFERROR(IF($E$3="Original",IF($AJ8=0,"-",(INDEX('APP 2885'!$G:$G,MATCH($D$2+$AB8-1,'APP 2885'!$A:$A,0))*$U8)/($AJ8+$AF8)),IF($AJ8=0,"-",(INDEX('APP 2885'!$G:$G,MATCH($D$2+$AD8-1,'APP 2885'!$A:$A,0))*$U8)/($AJ8+$AF8))),"N/A")</f>
        <v>0</v>
      </c>
      <c r="AN8" s="63">
        <f t="shared" si="8"/>
        <v>0</v>
      </c>
      <c r="AO8" s="63">
        <f t="shared" si="9"/>
        <v>0</v>
      </c>
      <c r="AP8" s="70" t="str">
        <f>IFERROR(IF($E$3="Original",IF($AA8=0,"-",(INDEX('APP 2885'!$E:$E,MATCH($D$2+$AB8-1,'APP 2885'!$A:$A,0))*$U8)/(AA8+AF8)),IF($AA8=0,"-",(INDEX('APP 2885'!$E:$E,MATCH($D$2+$AD8-1,'APP 2885'!$A:$A,0))*$U8)/(AA8+AF8))),"N/A")</f>
        <v>-</v>
      </c>
    </row>
    <row r="9" spans="2:44" ht="13.5" thickBot="1">
      <c r="B9" s="142" t="str">
        <f t="shared" si="0"/>
        <v>Bonus - Kitchen Bundle B (2 - measures)_Any 2 Kitchen equipment measures</v>
      </c>
      <c r="C9" s="142" t="str">
        <f t="shared" si="1"/>
        <v>Bonus - Kitchen Bundle B (2 - measures)_Any 2 Kitchen equipment measures</v>
      </c>
      <c r="D9" s="137" t="s">
        <v>167</v>
      </c>
      <c r="E9" s="137" t="s">
        <v>38</v>
      </c>
      <c r="F9" s="137" t="s">
        <v>39</v>
      </c>
      <c r="G9" s="138" t="s">
        <v>40</v>
      </c>
      <c r="H9" s="138" t="str">
        <f t="shared" si="17"/>
        <v>Any 2 Kitchen equipment measures</v>
      </c>
      <c r="I9" s="52">
        <f>COUNTIF('All TRC 2022 Measure Data'!$B:$B,D9)</f>
        <v>1</v>
      </c>
      <c r="J9" s="162"/>
      <c r="K9" s="53" t="s">
        <v>21</v>
      </c>
      <c r="L9" s="180" t="str">
        <f>IFERROR(INDEX('Com Measure Mapping'!$T:$T,MATCH($C9,'Com Measure Mapping'!$B:$B,0)),"N/A")</f>
        <v>N/A</v>
      </c>
      <c r="M9" s="181" t="str">
        <f>IFERROR(INDEX('Com Measure Mapping'!$U:$U,MATCH($C9,'Com Measure Mapping'!$B:$B,0)),"N/A")</f>
        <v>N/A</v>
      </c>
      <c r="N9" s="182">
        <f t="shared" si="10"/>
        <v>0</v>
      </c>
      <c r="O9" s="67">
        <f>SUMIF('All TRC 2022 Measure Data'!$B:$B,D9,'All TRC 2022 Measure Data'!$W:$W)</f>
        <v>1</v>
      </c>
      <c r="P9" s="184" t="str">
        <f>IFERROR(INDEX('Com Measure Mapping'!$Y:$Y,MATCH($C9,'Com Measure Mapping'!$B:$B,0)),"N/A")</f>
        <v>N/A</v>
      </c>
      <c r="Q9" s="184" t="str">
        <f>IFERROR(INDEX('Com Measure Mapping'!$Z:$Z,MATCH($C9,'Com Measure Mapping'!$B:$B,0)),"N/A")</f>
        <v>N/A</v>
      </c>
      <c r="R9" s="185" t="str">
        <f t="shared" si="2"/>
        <v>N/A</v>
      </c>
      <c r="S9" s="186">
        <f t="shared" si="18"/>
        <v>1</v>
      </c>
      <c r="T9" s="186">
        <f t="shared" si="11"/>
        <v>1</v>
      </c>
      <c r="U9" s="168">
        <f t="shared" si="12"/>
        <v>0</v>
      </c>
      <c r="V9" s="168"/>
      <c r="W9" s="187" t="str">
        <f>IFERROR(INDEX('Com Measure Mapping'!$V:$V,MATCH($C9,'Com Measure Mapping'!$B:$B,0)),"N/A")</f>
        <v>N/A</v>
      </c>
      <c r="X9" s="64">
        <v>0</v>
      </c>
      <c r="Y9" s="64">
        <f t="shared" si="13"/>
        <v>0</v>
      </c>
      <c r="Z9" s="64">
        <f t="shared" si="3"/>
        <v>0</v>
      </c>
      <c r="AA9" s="64">
        <f t="shared" si="4"/>
        <v>0</v>
      </c>
      <c r="AB9" s="52"/>
      <c r="AC9" s="189" t="str">
        <f>IFERROR(INDEX('Com Measure Mapping'!$W:$W,MATCH($C9,'Com Measure Mapping'!$B:$B,0)),"N/A")</f>
        <v>N/A</v>
      </c>
      <c r="AD9" s="188">
        <f t="shared" si="14"/>
        <v>0</v>
      </c>
      <c r="AE9" s="147">
        <f t="shared" si="5"/>
        <v>0</v>
      </c>
      <c r="AF9" s="145">
        <f t="shared" si="15"/>
        <v>0</v>
      </c>
      <c r="AG9" s="54">
        <v>300</v>
      </c>
      <c r="AH9" s="191" t="str">
        <f>IFERROR(INDEX('Com Measure Mapping'!$X:$X,MATCH($C9,'Com Measure Mapping'!$B:$B,0)),"N/A")</f>
        <v>N/A</v>
      </c>
      <c r="AI9" s="54">
        <v>300</v>
      </c>
      <c r="AJ9" s="145">
        <f t="shared" si="16"/>
        <v>300</v>
      </c>
      <c r="AK9" s="156">
        <f t="shared" si="6"/>
        <v>0</v>
      </c>
      <c r="AL9" s="157">
        <f t="shared" si="7"/>
        <v>0</v>
      </c>
      <c r="AM9" s="163">
        <f>IFERROR(IF($E$3="Original",IF($AJ9=0,"-",(INDEX('APP 2885'!$G:$G,MATCH($D$2+$AB9-1,'APP 2885'!$A:$A,0))*$U9)/($AJ9+$AF9)),IF($AJ9=0,"-",(INDEX('APP 2885'!$G:$G,MATCH($D$2+$AD9-1,'APP 2885'!$A:$A,0))*$U9)/($AJ9+$AF9))),"N/A")</f>
        <v>0</v>
      </c>
      <c r="AN9" s="64">
        <f t="shared" si="8"/>
        <v>0</v>
      </c>
      <c r="AO9" s="64">
        <f t="shared" si="9"/>
        <v>0</v>
      </c>
      <c r="AP9" s="163" t="str">
        <f>IFERROR(IF($E$3="Original",IF($AA9=0,"-",(INDEX('APP 2885'!$E:$E,MATCH($D$2+$AB9-1,'APP 2885'!$A:$A,0))*$U9)/(AA9+AF9)),IF($AA9=0,"-",(INDEX('APP 2885'!$E:$E,MATCH($D$2+$AD9-1,'APP 2885'!$A:$A,0))*$U9)/(AA9+AF9))),"N/A")</f>
        <v>-</v>
      </c>
    </row>
    <row r="10" spans="2:44" ht="13.5" thickBot="1">
      <c r="B10" s="142" t="str">
        <f t="shared" si="0"/>
        <v>Bonus - Kitchen Bundle C (3 or more measures)_Any 3 Kitchen equipment measures</v>
      </c>
      <c r="C10" s="142" t="str">
        <f t="shared" si="1"/>
        <v>Bonus - Kitchen Bundle C (3 or more measures)_Any 3 Kitchen equipment measures</v>
      </c>
      <c r="D10" s="135" t="s">
        <v>189</v>
      </c>
      <c r="E10" s="135" t="s">
        <v>35</v>
      </c>
      <c r="F10" s="135" t="s">
        <v>36</v>
      </c>
      <c r="G10" s="136" t="s">
        <v>37</v>
      </c>
      <c r="H10" s="136" t="str">
        <f t="shared" si="17"/>
        <v>Any 3 Kitchen equipment measures</v>
      </c>
      <c r="I10" s="47">
        <f>COUNTIF('All TRC 2022 Measure Data'!$B:$B,D10)</f>
        <v>1</v>
      </c>
      <c r="J10" s="164"/>
      <c r="K10" s="48" t="s">
        <v>21</v>
      </c>
      <c r="L10" s="164" t="str">
        <f>IFERROR(INDEX('Com Measure Mapping'!$T:$T,MATCH($C10,'Com Measure Mapping'!$B:$B,0)),"N/A")</f>
        <v>N/A</v>
      </c>
      <c r="M10" s="66" t="str">
        <f>IFERROR(INDEX('Com Measure Mapping'!$U:$U,MATCH($C10,'Com Measure Mapping'!$B:$B,0)),"N/A")</f>
        <v>N/A</v>
      </c>
      <c r="N10" s="183">
        <f t="shared" si="10"/>
        <v>0</v>
      </c>
      <c r="O10" s="66">
        <f>SUMIF('All TRC 2022 Measure Data'!$B:$B,D10,'All TRC 2022 Measure Data'!$W:$W)</f>
        <v>1</v>
      </c>
      <c r="P10" s="165" t="str">
        <f>IFERROR(INDEX('Com Measure Mapping'!$Y:$Y,MATCH($C10,'Com Measure Mapping'!$B:$B,0)),"N/A")</f>
        <v>N/A</v>
      </c>
      <c r="Q10" s="165" t="str">
        <f>IFERROR(INDEX('Com Measure Mapping'!$Z:$Z,MATCH($C10,'Com Measure Mapping'!$B:$B,0)),"N/A")</f>
        <v>N/A</v>
      </c>
      <c r="R10" s="167" t="str">
        <f t="shared" si="2"/>
        <v>N/A</v>
      </c>
      <c r="S10" s="166">
        <f t="shared" si="18"/>
        <v>1</v>
      </c>
      <c r="T10" s="166">
        <f t="shared" si="11"/>
        <v>1</v>
      </c>
      <c r="U10" s="66">
        <f t="shared" si="12"/>
        <v>0</v>
      </c>
      <c r="V10" s="66"/>
      <c r="W10" s="143" t="str">
        <f>IFERROR(INDEX('Com Measure Mapping'!$V:$V,MATCH($C10,'Com Measure Mapping'!$B:$B,0)),"N/A")</f>
        <v>N/A</v>
      </c>
      <c r="X10" s="63">
        <v>0</v>
      </c>
      <c r="Y10" s="63">
        <f t="shared" si="13"/>
        <v>0</v>
      </c>
      <c r="Z10" s="63">
        <f t="shared" si="3"/>
        <v>0</v>
      </c>
      <c r="AA10" s="63">
        <f t="shared" si="4"/>
        <v>0</v>
      </c>
      <c r="AB10" s="47"/>
      <c r="AC10" s="47" t="str">
        <f>IFERROR(INDEX('Com Measure Mapping'!$W:$W,MATCH($C10,'Com Measure Mapping'!$B:$B,0)),"N/A")</f>
        <v>N/A</v>
      </c>
      <c r="AD10" s="190">
        <f t="shared" si="14"/>
        <v>0</v>
      </c>
      <c r="AE10" s="146">
        <f t="shared" si="5"/>
        <v>0</v>
      </c>
      <c r="AF10" s="144">
        <f t="shared" si="15"/>
        <v>0</v>
      </c>
      <c r="AG10" s="49">
        <v>500</v>
      </c>
      <c r="AH10" s="49" t="str">
        <f>IFERROR(INDEX('Com Measure Mapping'!$X:$X,MATCH($C10,'Com Measure Mapping'!$B:$B,0)),"N/A")</f>
        <v>N/A</v>
      </c>
      <c r="AI10" s="49">
        <v>500</v>
      </c>
      <c r="AJ10" s="144">
        <f t="shared" si="16"/>
        <v>500</v>
      </c>
      <c r="AK10" s="154">
        <f t="shared" si="6"/>
        <v>0</v>
      </c>
      <c r="AL10" s="155">
        <f t="shared" si="7"/>
        <v>0</v>
      </c>
      <c r="AM10" s="70">
        <f>IFERROR(IF($E$3="Original",IF($AJ10=0,"-",(INDEX('APP 2885'!$G:$G,MATCH($D$2+$AB10-1,'APP 2885'!$A:$A,0))*$U10)/($AJ10+$AF10)),IF($AJ10=0,"-",(INDEX('APP 2885'!$G:$G,MATCH($D$2+$AD10-1,'APP 2885'!$A:$A,0))*$U10)/($AJ10+$AF10))),"N/A")</f>
        <v>0</v>
      </c>
      <c r="AN10" s="63">
        <f t="shared" si="8"/>
        <v>0</v>
      </c>
      <c r="AO10" s="63">
        <f t="shared" si="9"/>
        <v>0</v>
      </c>
      <c r="AP10" s="70" t="str">
        <f>IFERROR(IF($E$3="Original",IF($AA10=0,"-",(INDEX('APP 2885'!$E:$E,MATCH($D$2+$AB10-1,'APP 2885'!$A:$A,0))*$U10)/(AA10+AF10)),IF($AA10=0,"-",(INDEX('APP 2885'!$E:$E,MATCH($D$2+$AD10-1,'APP 2885'!$A:$A,0))*$U10)/(AA10+AF10))),"N/A")</f>
        <v>-</v>
      </c>
    </row>
    <row r="11" spans="2:44" ht="13.5" thickBot="1">
      <c r="B11" s="142" t="str">
        <f t="shared" si="0"/>
        <v>Bonus - Radiant Bundle D (radiant &amp; insulation)_Any combination of radiant heating and insulation</v>
      </c>
      <c r="C11" s="142" t="str">
        <f t="shared" si="1"/>
        <v>Bonus - Radiant Bundle D (radiant &amp; insulation)_Any combination of radiant heating and insulation</v>
      </c>
      <c r="D11" s="137" t="s">
        <v>303</v>
      </c>
      <c r="E11" s="137" t="s">
        <v>840</v>
      </c>
      <c r="F11" s="137" t="s">
        <v>841</v>
      </c>
      <c r="G11" s="138" t="s">
        <v>306</v>
      </c>
      <c r="H11" s="138" t="str">
        <f t="shared" si="17"/>
        <v>Any combination of radiant heating and insulation</v>
      </c>
      <c r="I11" s="52">
        <f>COUNTIF('All TRC 2022 Measure Data'!$B:$B,D11)</f>
        <v>1</v>
      </c>
      <c r="J11" s="162"/>
      <c r="K11" s="53" t="s">
        <v>21</v>
      </c>
      <c r="L11" s="180" t="str">
        <f>IFERROR(INDEX('Com Measure Mapping'!$T:$T,MATCH($C11,'Com Measure Mapping'!$B:$B,0)),"N/A")</f>
        <v>N/A</v>
      </c>
      <c r="M11" s="181" t="str">
        <f>IFERROR(INDEX('Com Measure Mapping'!$U:$U,MATCH($C11,'Com Measure Mapping'!$B:$B,0)),"N/A")</f>
        <v>N/A</v>
      </c>
      <c r="N11" s="182">
        <f t="shared" si="10"/>
        <v>0</v>
      </c>
      <c r="O11" s="67">
        <f>SUMIF('All TRC 2022 Measure Data'!$B:$B,D11,'All TRC 2022 Measure Data'!$W:$W)</f>
        <v>1</v>
      </c>
      <c r="P11" s="184" t="str">
        <f>IFERROR(INDEX('Com Measure Mapping'!$Y:$Y,MATCH($C11,'Com Measure Mapping'!$B:$B,0)),"N/A")</f>
        <v>N/A</v>
      </c>
      <c r="Q11" s="184" t="str">
        <f>IFERROR(INDEX('Com Measure Mapping'!$Z:$Z,MATCH($C11,'Com Measure Mapping'!$B:$B,0)),"N/A")</f>
        <v>N/A</v>
      </c>
      <c r="R11" s="185" t="str">
        <f t="shared" si="2"/>
        <v>N/A</v>
      </c>
      <c r="S11" s="186">
        <f t="shared" si="18"/>
        <v>1</v>
      </c>
      <c r="T11" s="186">
        <f t="shared" si="11"/>
        <v>1</v>
      </c>
      <c r="U11" s="168">
        <f t="shared" si="12"/>
        <v>0</v>
      </c>
      <c r="V11" s="168"/>
      <c r="W11" s="187" t="str">
        <f>IFERROR(INDEX('Com Measure Mapping'!$V:$V,MATCH($C11,'Com Measure Mapping'!$B:$B,0)),"N/A")</f>
        <v>N/A</v>
      </c>
      <c r="X11" s="64">
        <v>0</v>
      </c>
      <c r="Y11" s="64">
        <f t="shared" si="13"/>
        <v>0</v>
      </c>
      <c r="Z11" s="64">
        <f t="shared" si="3"/>
        <v>0</v>
      </c>
      <c r="AA11" s="64">
        <f t="shared" si="4"/>
        <v>0</v>
      </c>
      <c r="AB11" s="52"/>
      <c r="AC11" s="189" t="str">
        <f>IFERROR(INDEX('Com Measure Mapping'!$W:$W,MATCH($C11,'Com Measure Mapping'!$B:$B,0)),"N/A")</f>
        <v>N/A</v>
      </c>
      <c r="AD11" s="188">
        <f t="shared" si="14"/>
        <v>0</v>
      </c>
      <c r="AE11" s="147">
        <f t="shared" si="5"/>
        <v>0</v>
      </c>
      <c r="AF11" s="145">
        <f t="shared" si="15"/>
        <v>0</v>
      </c>
      <c r="AG11" s="54"/>
      <c r="AH11" s="191" t="str">
        <f>IFERROR(INDEX('Com Measure Mapping'!$X:$X,MATCH($C11,'Com Measure Mapping'!$B:$B,0)),"N/A")</f>
        <v>N/A</v>
      </c>
      <c r="AI11" s="54">
        <v>0</v>
      </c>
      <c r="AJ11" s="145">
        <f t="shared" si="16"/>
        <v>0</v>
      </c>
      <c r="AK11" s="156">
        <f t="shared" si="6"/>
        <v>0</v>
      </c>
      <c r="AL11" s="157">
        <f t="shared" si="7"/>
        <v>0</v>
      </c>
      <c r="AM11" s="163" t="str">
        <f>IFERROR(IF($E$3="Original",IF($AJ11=0,"-",(INDEX('APP 2885'!$G:$G,MATCH($D$2+$AB11-1,'APP 2885'!$A:$A,0))*$U11)/($AJ11+$AF11)),IF($AJ11=0,"-",(INDEX('APP 2885'!$G:$G,MATCH($D$2+$AD11-1,'APP 2885'!$A:$A,0))*$U11)/($AJ11+$AF11))),"N/A")</f>
        <v>-</v>
      </c>
      <c r="AN11" s="64">
        <f t="shared" si="8"/>
        <v>0</v>
      </c>
      <c r="AO11" s="64">
        <f t="shared" si="9"/>
        <v>0</v>
      </c>
      <c r="AP11" s="163" t="str">
        <f>IFERROR(IF($E$3="Original",IF($AA11=0,"-",(INDEX('APP 2885'!$E:$E,MATCH($D$2+$AB11-1,'APP 2885'!$A:$A,0))*$U11)/(AA11+AF11)),IF($AA11=0,"-",(INDEX('APP 2885'!$E:$E,MATCH($D$2+$AD11-1,'APP 2885'!$A:$A,0))*$U11)/(AA11+AF11))),"N/A")</f>
        <v>-</v>
      </c>
      <c r="AR11" s="203">
        <v>0</v>
      </c>
    </row>
    <row r="12" spans="2:44" ht="13.5" thickBot="1">
      <c r="B12" s="142" t="str">
        <f t="shared" si="0"/>
        <v>Convection Oven (Grocery)_&gt;= 44% Cooking Efficiency,&lt;= 13,000 Btu/hr Idle Rate</v>
      </c>
      <c r="C12" s="142" t="str">
        <f t="shared" si="1"/>
        <v>Convection Oven (Grocery)_&gt;= 44% Cooking Efficiency,&lt;= 13,000 Btu/hr Idle Rate</v>
      </c>
      <c r="D12" s="135" t="s">
        <v>846</v>
      </c>
      <c r="E12" s="135" t="s">
        <v>85</v>
      </c>
      <c r="F12" s="135" t="s">
        <v>9</v>
      </c>
      <c r="G12" s="136" t="s">
        <v>47</v>
      </c>
      <c r="H12" s="136" t="str">
        <f t="shared" si="17"/>
        <v>&gt;= 44% Cooking Efficiency,&lt;= 13,000 Btu/hr Idle Rate</v>
      </c>
      <c r="I12" s="47">
        <f>COUNTIF('All TRC 2022 Measure Data'!$B:$B,D12)</f>
        <v>0</v>
      </c>
      <c r="J12" s="164">
        <v>368</v>
      </c>
      <c r="K12" s="48" t="s">
        <v>48</v>
      </c>
      <c r="L12" s="164">
        <f>IFERROR(INDEX('Com Measure Mapping'!$T:$T,MATCH($C12,'Com Measure Mapping'!$B:$B,0)),"N/A")</f>
        <v>329.69063227564982</v>
      </c>
      <c r="M12" s="66" t="str">
        <f>IFERROR(INDEX('Com Measure Mapping'!$U:$U,MATCH($C12,'Com Measure Mapping'!$B:$B,0)),"N/A")</f>
        <v>1 unit</v>
      </c>
      <c r="N12" s="183">
        <f>J12</f>
        <v>368</v>
      </c>
      <c r="O12" s="66">
        <v>0</v>
      </c>
      <c r="P12" s="165">
        <f>IFERROR(INDEX('Com Measure Mapping'!$Y:$Y,MATCH($C12,'Com Measure Mapping'!$B:$B,0)),"N/A")</f>
        <v>1.86044292292598</v>
      </c>
      <c r="Q12" s="165">
        <f>IFERROR(INDEX('Com Measure Mapping'!$Z:$Z,MATCH($C12,'Com Measure Mapping'!$B:$B,0)),"N/A")</f>
        <v>2.6575532046584049</v>
      </c>
      <c r="R12" s="167">
        <f t="shared" si="2"/>
        <v>0.42845188740258866</v>
      </c>
      <c r="S12" s="166">
        <f t="shared" si="18"/>
        <v>0</v>
      </c>
      <c r="T12" s="166">
        <f t="shared" si="11"/>
        <v>0</v>
      </c>
      <c r="U12" s="66">
        <f t="shared" si="12"/>
        <v>0</v>
      </c>
      <c r="V12" s="66"/>
      <c r="W12" s="143">
        <f>IFERROR(INDEX('Com Measure Mapping'!$V:$V,MATCH($C12,'Com Measure Mapping'!$B:$B,0)),"N/A")</f>
        <v>760.73</v>
      </c>
      <c r="X12" s="63">
        <v>900</v>
      </c>
      <c r="Y12" s="63">
        <f t="shared" si="13"/>
        <v>0</v>
      </c>
      <c r="Z12" s="63">
        <f t="shared" si="3"/>
        <v>137.12179698884464</v>
      </c>
      <c r="AA12" s="63">
        <f t="shared" si="4"/>
        <v>0</v>
      </c>
      <c r="AB12" s="47">
        <v>12</v>
      </c>
      <c r="AC12" s="47">
        <f>IFERROR(INDEX('Com Measure Mapping'!$W:$W,MATCH($C12,'Com Measure Mapping'!$B:$B,0)),"N/A")</f>
        <v>10.5</v>
      </c>
      <c r="AD12" s="190">
        <f>ROUND(IF(AC12="N/A",AB12,AC12),0)</f>
        <v>11</v>
      </c>
      <c r="AE12" s="146">
        <f t="shared" si="5"/>
        <v>0</v>
      </c>
      <c r="AF12" s="144">
        <f t="shared" si="15"/>
        <v>0</v>
      </c>
      <c r="AG12" s="49">
        <v>800</v>
      </c>
      <c r="AH12" s="49">
        <f>IFERROR(INDEX('Com Measure Mapping'!$X:$X,MATCH($C12,'Com Measure Mapping'!$B:$B,0)),"N/A")</f>
        <v>760.73059999999998</v>
      </c>
      <c r="AI12" s="49">
        <v>800</v>
      </c>
      <c r="AJ12" s="144">
        <f t="shared" si="16"/>
        <v>0</v>
      </c>
      <c r="AK12" s="154">
        <f t="shared" si="6"/>
        <v>0</v>
      </c>
      <c r="AL12" s="155">
        <f t="shared" si="7"/>
        <v>0</v>
      </c>
      <c r="AM12" s="70" t="str">
        <f>IFERROR(IF($E$3="Original",IF($AJ12=0,"-",(INDEX('APP 2885'!$G:$G,MATCH($D$2+$AB12-1,'APP 2885'!$A:$A,0))*$U12)/($AJ12+$AF12)),IF($AJ12=0,"-",(INDEX('APP 2885'!$G:$G,MATCH($D$2+$AD12-1,'APP 2885'!$A:$A,0))*$U12)/($AJ12+$AF12))),"N/A")</f>
        <v>-</v>
      </c>
      <c r="AN12" s="63">
        <f t="shared" si="8"/>
        <v>0</v>
      </c>
      <c r="AO12" s="63">
        <f t="shared" si="9"/>
        <v>0</v>
      </c>
      <c r="AP12" s="70" t="str">
        <f>IFERROR(IF($E$3="Original",IF($AA12=0,"-",(INDEX('APP 2885'!$E:$E,MATCH($D$2+$AB12-1,'APP 2885'!$A:$A,0))*$U12)/(AA12+AF12)),IF($AA12=0,"-",(INDEX('APP 2885'!$E:$E,MATCH($D$2+$AD12-1,'APP 2885'!$A:$A,0))*$U12)/(AA12+AF12))),"N/A")</f>
        <v>-</v>
      </c>
      <c r="AR12" s="204">
        <f>(INDEX('APP 2885'!$G:$G,MATCH($D$2+$AD12-1,'APP 2885'!$A:$A,0))*$N12)/($AI12+($E$57*N12/SUM($U$5:$U$42)))</f>
        <v>3.0750723012275518</v>
      </c>
    </row>
    <row r="13" spans="2:44" ht="13.5" thickBot="1">
      <c r="B13" s="142" t="str">
        <f t="shared" ref="B13:B15" si="19">E13&amp;"_"&amp;H13</f>
        <v>Convection Oven (Lodging)_&gt;= 44% Cooking Efficiency,&lt;= 13,000 Btu/hr Idle Rate</v>
      </c>
      <c r="C13" s="142" t="str">
        <f t="shared" ref="C13:C15" si="20">E13&amp;"_"&amp;G13</f>
        <v>Convection Oven (Lodging)_&gt;= 44% Cooking Efficiency,&lt;= 13,000 Btu/hr Idle Rate</v>
      </c>
      <c r="D13" s="137" t="s">
        <v>113</v>
      </c>
      <c r="E13" s="137" t="s">
        <v>86</v>
      </c>
      <c r="F13" s="137" t="s">
        <v>9</v>
      </c>
      <c r="G13" s="138" t="s">
        <v>47</v>
      </c>
      <c r="H13" s="138" t="str">
        <f t="shared" ref="H13:H15" si="21">G13</f>
        <v>&gt;= 44% Cooking Efficiency,&lt;= 13,000 Btu/hr Idle Rate</v>
      </c>
      <c r="I13" s="52">
        <f>COUNTIF('All TRC 2022 Measure Data'!$B:$B,D13)</f>
        <v>2</v>
      </c>
      <c r="J13" s="162">
        <v>219</v>
      </c>
      <c r="K13" s="53" t="s">
        <v>48</v>
      </c>
      <c r="L13" s="180">
        <f>IFERROR(INDEX('Com Measure Mapping'!$T:$T,MATCH($C13,'Com Measure Mapping'!$B:$B,0)),"N/A")</f>
        <v>329.69063227564976</v>
      </c>
      <c r="M13" s="181" t="str">
        <f>IFERROR(INDEX('Com Measure Mapping'!$U:$U,MATCH($C13,'Com Measure Mapping'!$B:$B,0)),"N/A")</f>
        <v>1 unit</v>
      </c>
      <c r="N13" s="182">
        <f>J13</f>
        <v>219</v>
      </c>
      <c r="O13" s="67">
        <f>SUMIF('All TRC 2022 Measure Data'!$B:$B,D13,'All TRC 2022 Measure Data'!$W:$W)</f>
        <v>2</v>
      </c>
      <c r="P13" s="184">
        <f>IFERROR(INDEX('Com Measure Mapping'!$Y:$Y,MATCH($C13,'Com Measure Mapping'!$B:$B,0)),"N/A")</f>
        <v>0.11168050197242256</v>
      </c>
      <c r="Q13" s="184">
        <f>IFERROR(INDEX('Com Measure Mapping'!$Z:$Z,MATCH($C13,'Com Measure Mapping'!$B:$B,0)),"N/A")</f>
        <v>0.15953022382857557</v>
      </c>
      <c r="R13" s="185">
        <f t="shared" ref="R13:R15" si="22">IFERROR((Q13-P13)/P13,"N/A")</f>
        <v>0.42845188740258899</v>
      </c>
      <c r="S13" s="186">
        <f t="shared" ref="S13:S15" si="23">ROUND((O13/(6/12))*0.55,0)</f>
        <v>2</v>
      </c>
      <c r="T13" s="186">
        <f t="shared" ref="T13:T15" si="24">ROUND(IFERROR((S13*IF(R13&gt;50%,(1+(R13-19.5%)),(1+R13))),S13),0)</f>
        <v>3</v>
      </c>
      <c r="U13" s="168">
        <f t="shared" ref="U13:U15" si="25">IF($E$3="Original",ROUNDDOWN(O13*J13,2),ROUNDDOWN(S13*N13,2))</f>
        <v>438</v>
      </c>
      <c r="V13" s="168"/>
      <c r="W13" s="187">
        <f>IFERROR(INDEX('Com Measure Mapping'!$V:$V,MATCH($C13,'Com Measure Mapping'!$B:$B,0)),"N/A")</f>
        <v>760.73</v>
      </c>
      <c r="X13" s="64">
        <v>900</v>
      </c>
      <c r="Y13" s="64">
        <f t="shared" ref="Y13:Y15" si="26">IF($E$3="Original",O13*V13,S13*X13)</f>
        <v>1800</v>
      </c>
      <c r="Z13" s="64">
        <f t="shared" si="3"/>
        <v>81.602373751513511</v>
      </c>
      <c r="AA13" s="64">
        <f t="shared" ref="AA13:AA15" si="27">IF($E$3="Original",MAX(0,O13*(V13-Z13)),MAX(0,S13*(X13-Z13)))</f>
        <v>1636.795252496973</v>
      </c>
      <c r="AB13" s="52">
        <v>12</v>
      </c>
      <c r="AC13" s="189">
        <f>IFERROR(INDEX('Com Measure Mapping'!$W:$W,MATCH($C13,'Com Measure Mapping'!$B:$B,0)),"N/A")</f>
        <v>10.5</v>
      </c>
      <c r="AD13" s="188">
        <f t="shared" ref="AD13:AD15" si="28">ROUND(IF(AC13="N/A",AB13,AC13),0)</f>
        <v>11</v>
      </c>
      <c r="AE13" s="147">
        <f t="shared" ref="AE13:AE15" si="29">IF($E$3="Original",PV($E$54,AB13,-U13),PV($E$54,AD13,-U13))</f>
        <v>3626.7721667339338</v>
      </c>
      <c r="AF13" s="145">
        <f t="shared" ref="AF13:AF15" si="30">$E$57*U13/SUM($U$5:$U$42)</f>
        <v>1385.1479057401789</v>
      </c>
      <c r="AG13" s="54">
        <v>800</v>
      </c>
      <c r="AH13" s="191">
        <f>IFERROR(INDEX('Com Measure Mapping'!$X:$X,MATCH($C13,'Com Measure Mapping'!$B:$B,0)),"N/A")</f>
        <v>760.73059999999998</v>
      </c>
      <c r="AI13" s="54">
        <v>800</v>
      </c>
      <c r="AJ13" s="145">
        <f t="shared" ref="AJ13:AJ15" si="31">IF($E$3="Original",O13*AG13,S13*AI13)</f>
        <v>1600</v>
      </c>
      <c r="AK13" s="156">
        <f t="shared" ref="AK13:AK15" si="32">IF(ISERROR(AJ13/AE13),0,AJ13/AE13)</f>
        <v>0.44116363709741097</v>
      </c>
      <c r="AL13" s="157">
        <f t="shared" ref="AL13:AL15" si="33">IF(AE13=0,0,(AJ13+AF13)/AE13)</f>
        <v>0.82308669210628538</v>
      </c>
      <c r="AM13" s="163">
        <f>IFERROR(IF($E$3="Original",IF($AJ13=0,"-",(INDEX('APP 2885'!$G:$G,MATCH($D$2+$AB13-1,'APP 2885'!$A:$A,0))*$U13)/($AJ13+$AF13)),IF($AJ13=0,"-",(INDEX('APP 2885'!$G:$G,MATCH($D$2+$AD13-1,'APP 2885'!$A:$A,0))*$U13)/($AJ13+$AF13))),"N/A")</f>
        <v>2.407731144636291</v>
      </c>
      <c r="AN13" s="64">
        <f t="shared" ref="AN13:AN15" si="34">IF(ISERROR(AA13/AE13),0,AA13/AE13)</f>
        <v>0.45130909173458733</v>
      </c>
      <c r="AO13" s="64">
        <f t="shared" ref="AO13:AO15" si="35">IF(AE13=0,0,(AA13+AF13)/AE13)</f>
        <v>0.83323214674346169</v>
      </c>
      <c r="AP13" s="163">
        <f>IFERROR(IF($E$3="Original",IF($AA13=0,"-",(INDEX('APP 2885'!$E:$E,MATCH($D$2+$AB13-1,'APP 2885'!$A:$A,0))*$U13)/(AA13+AF13)),IF($AA13=0,"-",(INDEX('APP 2885'!$E:$E,MATCH($D$2+$AD13-1,'APP 2885'!$A:$A,0))*$U13)/(AA13+AF13))),"N/A")</f>
        <v>2.1621950476121676</v>
      </c>
      <c r="AR13" s="204"/>
    </row>
    <row r="14" spans="2:44" ht="13.5" thickBot="1">
      <c r="B14" s="142" t="str">
        <f t="shared" si="19"/>
        <v>Convection Oven (Restaurant)_&gt;= 44% Cooking Efficiency,&lt;= 13,000 Btu/hr Idle Rate</v>
      </c>
      <c r="C14" s="142" t="str">
        <f t="shared" si="20"/>
        <v>Convection Oven (Restaurant)_&gt;= 44% Cooking Efficiency,&lt;= 13,000 Btu/hr Idle Rate</v>
      </c>
      <c r="D14" s="135" t="s">
        <v>847</v>
      </c>
      <c r="E14" s="135" t="s">
        <v>46</v>
      </c>
      <c r="F14" s="135" t="s">
        <v>9</v>
      </c>
      <c r="G14" s="136" t="s">
        <v>47</v>
      </c>
      <c r="H14" s="136" t="str">
        <f t="shared" si="21"/>
        <v>&gt;= 44% Cooking Efficiency,&lt;= 13,000 Btu/hr Idle Rate</v>
      </c>
      <c r="I14" s="47">
        <f>COUNTIF('All TRC 2022 Measure Data'!$B:$B,D14)</f>
        <v>0</v>
      </c>
      <c r="J14" s="164">
        <v>649</v>
      </c>
      <c r="K14" s="48" t="s">
        <v>48</v>
      </c>
      <c r="L14" s="164">
        <f>IFERROR(INDEX('Com Measure Mapping'!$T:$T,MATCH($C14,'Com Measure Mapping'!$B:$B,0)),"N/A")</f>
        <v>329.69063227564965</v>
      </c>
      <c r="M14" s="66" t="str">
        <f>IFERROR(INDEX('Com Measure Mapping'!$U:$U,MATCH($C14,'Com Measure Mapping'!$B:$B,0)),"N/A")</f>
        <v>1 unit</v>
      </c>
      <c r="N14" s="183">
        <f>J14</f>
        <v>649</v>
      </c>
      <c r="O14" s="66">
        <v>0</v>
      </c>
      <c r="P14" s="165">
        <f>IFERROR(INDEX('Com Measure Mapping'!$Y:$Y,MATCH($C14,'Com Measure Mapping'!$B:$B,0)),"N/A")</f>
        <v>3.9784515007661758</v>
      </c>
      <c r="Q14" s="165">
        <f>IFERROR(INDEX('Com Measure Mapping'!$Z:$Z,MATCH($C14,'Com Measure Mapping'!$B:$B,0)),"N/A")</f>
        <v>5.6830265552091088</v>
      </c>
      <c r="R14" s="167">
        <f t="shared" si="22"/>
        <v>0.42845188740258955</v>
      </c>
      <c r="S14" s="166">
        <f t="shared" si="23"/>
        <v>0</v>
      </c>
      <c r="T14" s="166">
        <f t="shared" si="24"/>
        <v>0</v>
      </c>
      <c r="U14" s="66">
        <f t="shared" si="25"/>
        <v>0</v>
      </c>
      <c r="V14" s="66"/>
      <c r="W14" s="143">
        <f>IFERROR(INDEX('Com Measure Mapping'!$V:$V,MATCH($C14,'Com Measure Mapping'!$B:$B,0)),"N/A")</f>
        <v>760.73</v>
      </c>
      <c r="X14" s="63">
        <v>900</v>
      </c>
      <c r="Y14" s="63">
        <f t="shared" si="26"/>
        <v>0</v>
      </c>
      <c r="Z14" s="63">
        <f t="shared" si="3"/>
        <v>241.82621262434827</v>
      </c>
      <c r="AA14" s="63">
        <f t="shared" si="27"/>
        <v>0</v>
      </c>
      <c r="AB14" s="47">
        <v>12</v>
      </c>
      <c r="AC14" s="47">
        <f>IFERROR(INDEX('Com Measure Mapping'!$W:$W,MATCH($C14,'Com Measure Mapping'!$B:$B,0)),"N/A")</f>
        <v>10.5</v>
      </c>
      <c r="AD14" s="190">
        <f t="shared" si="28"/>
        <v>11</v>
      </c>
      <c r="AE14" s="146">
        <f t="shared" si="29"/>
        <v>0</v>
      </c>
      <c r="AF14" s="144">
        <f t="shared" si="30"/>
        <v>0</v>
      </c>
      <c r="AG14" s="49">
        <v>800</v>
      </c>
      <c r="AH14" s="49">
        <f>IFERROR(INDEX('Com Measure Mapping'!$X:$X,MATCH($C14,'Com Measure Mapping'!$B:$B,0)),"N/A")</f>
        <v>760.73059999999998</v>
      </c>
      <c r="AI14" s="49">
        <v>800</v>
      </c>
      <c r="AJ14" s="144">
        <f t="shared" si="31"/>
        <v>0</v>
      </c>
      <c r="AK14" s="154">
        <f t="shared" si="32"/>
        <v>0</v>
      </c>
      <c r="AL14" s="155">
        <f t="shared" si="33"/>
        <v>0</v>
      </c>
      <c r="AM14" s="70" t="str">
        <f>IFERROR(IF($E$3="Original",IF($AJ14=0,"-",(INDEX('APP 2885'!$G:$G,MATCH($D$2+$AB14-1,'APP 2885'!$A:$A,0))*$U14)/($AJ14+$AF14)),IF($AJ14=0,"-",(INDEX('APP 2885'!$G:$G,MATCH($D$2+$AD14-1,'APP 2885'!$A:$A,0))*$U14)/($AJ14+$AF14))),"N/A")</f>
        <v>-</v>
      </c>
      <c r="AN14" s="63">
        <f t="shared" si="34"/>
        <v>0</v>
      </c>
      <c r="AO14" s="63">
        <f t="shared" si="35"/>
        <v>0</v>
      </c>
      <c r="AP14" s="70" t="str">
        <f>IFERROR(IF($E$3="Original",IF($AA14=0,"-",(INDEX('APP 2885'!$E:$E,MATCH($D$2+$AB14-1,'APP 2885'!$A:$A,0))*$U14)/(AA14+AF14)),IF($AA14=0,"-",(INDEX('APP 2885'!$E:$E,MATCH($D$2+$AD14-1,'APP 2885'!$A:$A,0))*$U14)/(AA14+AF14))),"N/A")</f>
        <v>-</v>
      </c>
      <c r="AR14" s="204">
        <f>(INDEX('APP 2885'!$G:$G,MATCH($D$2+$AD14-1,'APP 2885'!$A:$A,0))*$N14)/($AI14+($E$57*N14/SUM($U$5:$U$42)))</f>
        <v>3.7336241728918056</v>
      </c>
    </row>
    <row r="15" spans="2:44" ht="13.5" thickBot="1">
      <c r="B15" s="142" t="str">
        <f t="shared" si="19"/>
        <v>Convection Oven (School)_&gt;= 44% Cooking Efficiency,&lt;= 13,000 Btu/hr Idle Rate</v>
      </c>
      <c r="C15" s="142" t="str">
        <f t="shared" si="20"/>
        <v>Convection Oven (School)_&gt;= 44% Cooking Efficiency,&lt;= 13,000 Btu/hr Idle Rate</v>
      </c>
      <c r="D15" s="137" t="s">
        <v>848</v>
      </c>
      <c r="E15" s="137" t="s">
        <v>87</v>
      </c>
      <c r="F15" s="137" t="s">
        <v>9</v>
      </c>
      <c r="G15" s="138" t="s">
        <v>47</v>
      </c>
      <c r="H15" s="138" t="str">
        <f t="shared" si="21"/>
        <v>&gt;= 44% Cooking Efficiency,&lt;= 13,000 Btu/hr Idle Rate</v>
      </c>
      <c r="I15" s="52">
        <f>COUNTIF('All TRC 2022 Measure Data'!$B:$B,D15)</f>
        <v>0</v>
      </c>
      <c r="J15" s="162">
        <v>141</v>
      </c>
      <c r="K15" s="53" t="s">
        <v>48</v>
      </c>
      <c r="L15" s="180">
        <f>IFERROR(INDEX('Com Measure Mapping'!$T:$T,MATCH($C15,'Com Measure Mapping'!$B:$B,0)),"N/A")</f>
        <v>329.69063227564976</v>
      </c>
      <c r="M15" s="181" t="str">
        <f>IFERROR(INDEX('Com Measure Mapping'!$U:$U,MATCH($C15,'Com Measure Mapping'!$B:$B,0)),"N/A")</f>
        <v>1 unit</v>
      </c>
      <c r="N15" s="182">
        <f>J15</f>
        <v>141</v>
      </c>
      <c r="O15" s="67">
        <v>0</v>
      </c>
      <c r="P15" s="184">
        <f>IFERROR(INDEX('Com Measure Mapping'!$Y:$Y,MATCH($C15,'Com Measure Mapping'!$B:$B,0)),"N/A")</f>
        <v>2.0986722621707449E-2</v>
      </c>
      <c r="Q15" s="184">
        <f>IFERROR(INDEX('Com Measure Mapping'!$Z:$Z,MATCH($C15,'Com Measure Mapping'!$B:$B,0)),"N/A")</f>
        <v>2.9978523539372616E-2</v>
      </c>
      <c r="R15" s="185">
        <f t="shared" si="22"/>
        <v>0.42845188740258899</v>
      </c>
      <c r="S15" s="186">
        <f t="shared" si="23"/>
        <v>0</v>
      </c>
      <c r="T15" s="186">
        <f t="shared" si="24"/>
        <v>0</v>
      </c>
      <c r="U15" s="168">
        <f t="shared" si="25"/>
        <v>0</v>
      </c>
      <c r="V15" s="168"/>
      <c r="W15" s="187">
        <f>IFERROR(INDEX('Com Measure Mapping'!$V:$V,MATCH($C15,'Com Measure Mapping'!$B:$B,0)),"N/A")</f>
        <v>760.73</v>
      </c>
      <c r="X15" s="64">
        <v>900</v>
      </c>
      <c r="Y15" s="64">
        <f t="shared" si="26"/>
        <v>0</v>
      </c>
      <c r="Z15" s="64">
        <f t="shared" si="3"/>
        <v>52.538514607138836</v>
      </c>
      <c r="AA15" s="64">
        <f t="shared" si="27"/>
        <v>0</v>
      </c>
      <c r="AB15" s="52">
        <v>12</v>
      </c>
      <c r="AC15" s="189">
        <f>IFERROR(INDEX('Com Measure Mapping'!$W:$W,MATCH($C15,'Com Measure Mapping'!$B:$B,0)),"N/A")</f>
        <v>10.5</v>
      </c>
      <c r="AD15" s="188">
        <f t="shared" si="28"/>
        <v>11</v>
      </c>
      <c r="AE15" s="147">
        <f t="shared" si="29"/>
        <v>0</v>
      </c>
      <c r="AF15" s="145">
        <f t="shared" si="30"/>
        <v>0</v>
      </c>
      <c r="AG15" s="54">
        <v>800</v>
      </c>
      <c r="AH15" s="191">
        <f>IFERROR(INDEX('Com Measure Mapping'!$X:$X,MATCH($C15,'Com Measure Mapping'!$B:$B,0)),"N/A")</f>
        <v>760.73059999999998</v>
      </c>
      <c r="AI15" s="54">
        <v>800</v>
      </c>
      <c r="AJ15" s="145">
        <f t="shared" si="31"/>
        <v>0</v>
      </c>
      <c r="AK15" s="156">
        <f t="shared" si="32"/>
        <v>0</v>
      </c>
      <c r="AL15" s="157">
        <f t="shared" si="33"/>
        <v>0</v>
      </c>
      <c r="AM15" s="163" t="str">
        <f>IFERROR(IF($E$3="Original",IF($AJ15=0,"-",(INDEX('APP 2885'!$G:$G,MATCH($D$2+$AB15-1,'APP 2885'!$A:$A,0))*$U15)/($AJ15+$AF15)),IF($AJ15=0,"-",(INDEX('APP 2885'!$G:$G,MATCH($D$2+$AD15-1,'APP 2885'!$A:$A,0))*$U15)/($AJ15+$AF15))),"N/A")</f>
        <v>-</v>
      </c>
      <c r="AN15" s="64">
        <f t="shared" si="34"/>
        <v>0</v>
      </c>
      <c r="AO15" s="64">
        <f t="shared" si="35"/>
        <v>0</v>
      </c>
      <c r="AP15" s="163" t="str">
        <f>IFERROR(IF($E$3="Original",IF($AA15=0,"-",(INDEX('APP 2885'!$E:$E,MATCH($D$2+$AB15-1,'APP 2885'!$A:$A,0))*$U15)/(AA15+AF15)),IF($AA15=0,"-",(INDEX('APP 2885'!$E:$E,MATCH($D$2+$AD15-1,'APP 2885'!$A:$A,0))*$U15)/(AA15+AF15))),"N/A")</f>
        <v>-</v>
      </c>
      <c r="AR15" s="204">
        <f>(INDEX('APP 2885'!$G:$G,MATCH($D$2+$AD15-1,'APP 2885'!$A:$A,0))*$N15)/($AI15+($E$57*N15/SUM($U$5:$U$42)))</f>
        <v>1.8570959548953947</v>
      </c>
    </row>
    <row r="16" spans="2:44" ht="13.5" thickBot="1">
      <c r="B16" s="142" t="str">
        <f t="shared" si="0"/>
        <v>DCV_Meet JUARC Guidelines for DCV RTUs in 5-20 ton</v>
      </c>
      <c r="C16" s="142" t="str">
        <f t="shared" si="1"/>
        <v>DCV_Meet JUARC Guidelines for DCV RTUs in 5-20 ton</v>
      </c>
      <c r="D16" s="135" t="s">
        <v>307</v>
      </c>
      <c r="E16" s="135" t="s">
        <v>44</v>
      </c>
      <c r="F16" s="135" t="s">
        <v>28</v>
      </c>
      <c r="G16" s="136" t="s">
        <v>30</v>
      </c>
      <c r="H16" s="136" t="str">
        <f t="shared" si="17"/>
        <v>Meet JUARC Guidelines for DCV RTUs in 5-20 ton</v>
      </c>
      <c r="I16" s="47">
        <f>COUNTIF('All TRC 2022 Measure Data'!$B:$B,D16)</f>
        <v>0</v>
      </c>
      <c r="J16" s="164">
        <v>11.3041</v>
      </c>
      <c r="K16" s="48" t="s">
        <v>45</v>
      </c>
      <c r="L16" s="164">
        <f>IFERROR(INDEX('Com Measure Mapping'!$T:$T,MATCH($C16,'Com Measure Mapping'!$B:$B,0)),"N/A")</f>
        <v>11.304074999999997</v>
      </c>
      <c r="M16" s="66" t="str">
        <f>IFERROR(INDEX('Com Measure Mapping'!$U:$U,MATCH($C16,'Com Measure Mapping'!$B:$B,0)),"N/A")</f>
        <v>ton</v>
      </c>
      <c r="N16" s="183">
        <f t="shared" si="10"/>
        <v>11.304074999999997</v>
      </c>
      <c r="O16" s="66">
        <f>SUMIF('All TRC 2022 Measure Data'!$B:$B,D16,'All TRC 2022 Measure Data'!$W:$W)</f>
        <v>0</v>
      </c>
      <c r="P16" s="165">
        <f>IFERROR(INDEX('Com Measure Mapping'!$Y:$Y,MATCH($C16,'Com Measure Mapping'!$B:$B,0)),"N/A")</f>
        <v>127265.19039231732</v>
      </c>
      <c r="Q16" s="165">
        <f>IFERROR(INDEX('Com Measure Mapping'!$Z:$Z,MATCH($C16,'Com Measure Mapping'!$B:$B,0)),"N/A")</f>
        <v>213149.86786029991</v>
      </c>
      <c r="R16" s="167">
        <f t="shared" si="2"/>
        <v>0.67484814349648925</v>
      </c>
      <c r="S16" s="166">
        <f>ROUND((P16*10%)*0.55,0)</f>
        <v>7000</v>
      </c>
      <c r="T16" s="166">
        <f t="shared" si="11"/>
        <v>10359</v>
      </c>
      <c r="U16" s="66">
        <f t="shared" si="12"/>
        <v>79128.52</v>
      </c>
      <c r="V16" s="66"/>
      <c r="W16" s="143">
        <f>IFERROR(INDEX('Com Measure Mapping'!$V:$V,MATCH($C16,'Com Measure Mapping'!$B:$B,0)),"N/A")</f>
        <v>106.81875000000001</v>
      </c>
      <c r="X16" s="63">
        <v>106.81875000000001</v>
      </c>
      <c r="Y16" s="63">
        <f t="shared" si="13"/>
        <v>747731.25000000012</v>
      </c>
      <c r="Z16" s="63">
        <f t="shared" si="3"/>
        <v>2.5769733604257157</v>
      </c>
      <c r="AA16" s="63">
        <f t="shared" si="4"/>
        <v>729692.43647702003</v>
      </c>
      <c r="AB16" s="47">
        <v>15</v>
      </c>
      <c r="AC16" s="47">
        <f>IFERROR(INDEX('Com Measure Mapping'!$W:$W,MATCH($C16,'Com Measure Mapping'!$B:$B,0)),"N/A")</f>
        <v>6</v>
      </c>
      <c r="AD16" s="190">
        <f t="shared" si="14"/>
        <v>6</v>
      </c>
      <c r="AE16" s="146">
        <f t="shared" si="5"/>
        <v>400862.49740305252</v>
      </c>
      <c r="AF16" s="144">
        <f t="shared" si="15"/>
        <v>250239.0496856618</v>
      </c>
      <c r="AG16" s="49">
        <v>20</v>
      </c>
      <c r="AH16" s="49">
        <f>IFERROR(INDEX('Com Measure Mapping'!$X:$X,MATCH($C16,'Com Measure Mapping'!$B:$B,0)),"N/A")</f>
        <v>44.861943750000002</v>
      </c>
      <c r="AI16" s="49">
        <v>50</v>
      </c>
      <c r="AJ16" s="144">
        <f t="shared" si="16"/>
        <v>350000</v>
      </c>
      <c r="AK16" s="154">
        <f t="shared" si="6"/>
        <v>0.87311734639044536</v>
      </c>
      <c r="AL16" s="155">
        <f t="shared" si="7"/>
        <v>1.4973689321756221</v>
      </c>
      <c r="AM16" s="70">
        <f>IFERROR(IF($E$3="Original",IF($AJ16=0,"-",(INDEX('APP 2885'!$G:$G,MATCH($D$2+$AB16-1,'APP 2885'!$A:$A,0))*$U16)/($AJ16+$AF16)),IF($AJ16=0,"-",(INDEX('APP 2885'!$G:$G,MATCH($D$2+$AD16-1,'APP 2885'!$A:$A,0))*$U16)/($AJ16+$AF16))),"N/A")</f>
        <v>1.1200594085682511</v>
      </c>
      <c r="AN16" s="63">
        <f t="shared" si="8"/>
        <v>1.8203060680514123</v>
      </c>
      <c r="AO16" s="63">
        <f t="shared" si="9"/>
        <v>2.444557653836589</v>
      </c>
      <c r="AP16" s="70">
        <f>IFERROR(IF($E$3="Original",IF($AA16=0,"-",(INDEX('APP 2885'!$E:$E,MATCH($D$2+$AB16-1,'APP 2885'!$A:$A,0))*$U16)/(AA16+AF16)),IF($AA16=0,"-",(INDEX('APP 2885'!$E:$E,MATCH($D$2+$AD16-1,'APP 2885'!$A:$A,0))*$U16)/(AA16+AF16))),"N/A")</f>
        <v>0.62370167013425803</v>
      </c>
    </row>
    <row r="17" spans="2:44" ht="13.5" thickBot="1">
      <c r="B17" s="142"/>
      <c r="C17" s="142"/>
      <c r="D17" s="137" t="s">
        <v>693</v>
      </c>
      <c r="E17" s="137" t="s">
        <v>826</v>
      </c>
      <c r="F17" s="137" t="s">
        <v>827</v>
      </c>
      <c r="G17" s="138" t="s">
        <v>828</v>
      </c>
      <c r="H17" s="138" t="str">
        <f t="shared" si="17"/>
        <v>Efficient Hood</v>
      </c>
      <c r="I17" s="52">
        <f>COUNTIF('All TRC 2022 Measure Data'!$B:$B,D17)</f>
        <v>0</v>
      </c>
      <c r="J17" s="162">
        <v>0.15</v>
      </c>
      <c r="K17" s="53" t="s">
        <v>829</v>
      </c>
      <c r="L17" s="180" t="str">
        <f>IFERROR(INDEX('Com Measure Mapping'!$T:$T,MATCH($C17,'Com Measure Mapping'!$B:$B,0)),"N/A")</f>
        <v>N/A</v>
      </c>
      <c r="M17" s="181" t="str">
        <f>IFERROR(INDEX('Com Measure Mapping'!$U:$U,MATCH($C17,'Com Measure Mapping'!$B:$B,0)),"N/A")</f>
        <v>N/A</v>
      </c>
      <c r="N17" s="182">
        <f t="shared" ref="N17" si="36">IF(L17="N/A",J17,L17)</f>
        <v>0.15</v>
      </c>
      <c r="O17" s="67">
        <f>SUMIF('All TRC 2022 Measure Data'!$B:$B,D17,'All TRC 2022 Measure Data'!$W:$W)</f>
        <v>0</v>
      </c>
      <c r="P17" s="184" t="str">
        <f>IFERROR(INDEX('Com Measure Mapping'!$Y:$Y,MATCH($C17,'Com Measure Mapping'!$B:$B,0)),"N/A")</f>
        <v>N/A</v>
      </c>
      <c r="Q17" s="184" t="str">
        <f>IFERROR(INDEX('Com Measure Mapping'!$Z:$Z,MATCH($C17,'Com Measure Mapping'!$B:$B,0)),"N/A")</f>
        <v>N/A</v>
      </c>
      <c r="R17" s="185" t="str">
        <f t="shared" ref="R17" si="37">IFERROR((Q17-P17)/P17,"N/A")</f>
        <v>N/A</v>
      </c>
      <c r="S17" s="186">
        <f>5*5000</f>
        <v>25000</v>
      </c>
      <c r="T17" s="186">
        <f t="shared" si="11"/>
        <v>25000</v>
      </c>
      <c r="U17" s="168">
        <f t="shared" ref="U17" si="38">IF($E$3="Original",ROUNDDOWN(O17*J17,2),ROUNDDOWN(S17*N17,2))</f>
        <v>3750</v>
      </c>
      <c r="V17" s="168"/>
      <c r="W17" s="187" t="str">
        <f>IFERROR(INDEX('Com Measure Mapping'!$V:$V,MATCH($C17,'Com Measure Mapping'!$B:$B,0)),"N/A")</f>
        <v>N/A</v>
      </c>
      <c r="X17" s="64">
        <v>2.41</v>
      </c>
      <c r="Y17" s="64">
        <f t="shared" ref="Y17" si="39">IF($E$3="Original",O17*V17,S17*X17)</f>
        <v>60250</v>
      </c>
      <c r="Z17" s="64">
        <f t="shared" si="3"/>
        <v>6.9779408095643813E-2</v>
      </c>
      <c r="AA17" s="64">
        <f t="shared" ref="AA17" si="40">IF($E$3="Original",MAX(0,O17*(V17-Z17)),MAX(0,S17*(X17-Z17)))</f>
        <v>58505.514797608907</v>
      </c>
      <c r="AB17" s="52">
        <v>0</v>
      </c>
      <c r="AC17" s="189" t="str">
        <f>IFERROR(INDEX('Com Measure Mapping'!$W:$W,MATCH($C17,'Com Measure Mapping'!$B:$B,0)),"N/A")</f>
        <v>N/A</v>
      </c>
      <c r="AD17" s="188">
        <v>15</v>
      </c>
      <c r="AE17" s="147">
        <f t="shared" si="5"/>
        <v>38766.337830913224</v>
      </c>
      <c r="AF17" s="145">
        <f t="shared" si="15"/>
        <v>11859.14302859742</v>
      </c>
      <c r="AG17" s="54">
        <v>0</v>
      </c>
      <c r="AH17" s="191" t="str">
        <f>IFERROR(INDEX('Com Measure Mapping'!$X:$X,MATCH($C17,'Com Measure Mapping'!$B:$B,0)),"N/A")</f>
        <v>N/A</v>
      </c>
      <c r="AI17" s="54">
        <v>0.5</v>
      </c>
      <c r="AJ17" s="145">
        <f t="shared" ref="AJ17" si="41">IF($E$3="Original",O17*AG17,S17*AI17)</f>
        <v>12500</v>
      </c>
      <c r="AK17" s="156">
        <f t="shared" ref="AK17" si="42">IF(ISERROR(AJ17/AE17),0,AJ17/AE17)</f>
        <v>0.32244469556348432</v>
      </c>
      <c r="AL17" s="157">
        <f t="shared" ref="AL17" si="43">IF(AE17=0,0,(AJ17+AF17)/AE17)</f>
        <v>0.62835811664347729</v>
      </c>
      <c r="AM17" s="163">
        <f>IFERROR(IF($E$3="Original",IF($AJ17=0,"-",(INDEX('APP 2885'!$G:$G,MATCH($D$2+$AB17-1,'APP 2885'!$A:$A,0))*$U17)/($AJ17+$AF17)),IF($AJ17=0,"-",(INDEX('APP 2885'!$G:$G,MATCH($D$2+$AD17-1,'APP 2885'!$A:$A,0))*$U17)/($AJ17+$AF17))),"N/A")</f>
        <v>3.3964085323257747</v>
      </c>
      <c r="AN17" s="64">
        <f t="shared" ref="AN17" si="44">IF(ISERROR(AA17/AE17),0,AA17/AE17)</f>
        <v>1.5091834326159945</v>
      </c>
      <c r="AO17" s="64">
        <f t="shared" ref="AO17" si="45">IF(AE17=0,0,(AA17+AF17)/AE17)</f>
        <v>1.8150968536959875</v>
      </c>
      <c r="AP17" s="163">
        <f>IFERROR(IF($E$3="Original",IF($AA17=0,"-",(INDEX('APP 2885'!$E:$E,MATCH($D$2+$AB17-1,'APP 2885'!$A:$A,0))*$U17)/(AA17+AF17)),IF($AA17=0,"-",(INDEX('APP 2885'!$E:$E,MATCH($D$2+$AD17-1,'APP 2885'!$A:$A,0))*$U17)/(AA17+AF17))),"N/A")</f>
        <v>1.0688940594789647</v>
      </c>
      <c r="AR17" s="203"/>
    </row>
    <row r="18" spans="2:44" ht="13.5" thickBot="1">
      <c r="B18" s="142" t="str">
        <f t="shared" si="0"/>
        <v>DHW Recirculation Controls_Add time clock or other schedule control for continuous operation DHW recirculation pump</v>
      </c>
      <c r="C18" s="142" t="str">
        <f t="shared" si="1"/>
        <v>DHW Recirculation Controls_Add time clock or other schedule control for continuous operation DHW recirculation pump</v>
      </c>
      <c r="D18" s="135" t="s">
        <v>114</v>
      </c>
      <c r="E18" s="135" t="s">
        <v>88</v>
      </c>
      <c r="F18" s="135" t="s">
        <v>97</v>
      </c>
      <c r="G18" s="136" t="s">
        <v>98</v>
      </c>
      <c r="H18" s="136" t="str">
        <f t="shared" si="17"/>
        <v>Add time clock or other schedule control for continuous operation DHW recirculation pump</v>
      </c>
      <c r="I18" s="47">
        <f>COUNTIF('All TRC 2022 Measure Data'!$B:$B,D18)</f>
        <v>0</v>
      </c>
      <c r="J18" s="164">
        <v>72</v>
      </c>
      <c r="K18" s="48" t="s">
        <v>108</v>
      </c>
      <c r="L18" s="164">
        <f>IFERROR(INDEX('Com Measure Mapping'!$T:$T,MATCH($C18,'Com Measure Mapping'!$B:$B,0)),"N/A")</f>
        <v>646.52388499057565</v>
      </c>
      <c r="M18" s="66" t="str">
        <f>IFERROR(INDEX('Com Measure Mapping'!$U:$U,MATCH($C18,'Com Measure Mapping'!$B:$B,0)),"N/A")</f>
        <v>perBldg</v>
      </c>
      <c r="N18" s="183">
        <f>J18</f>
        <v>72</v>
      </c>
      <c r="O18" s="66">
        <f>SUMIF('All TRC 2022 Measure Data'!$B:$B,D18,'All TRC 2022 Measure Data'!$W:$W)</f>
        <v>0</v>
      </c>
      <c r="P18" s="165">
        <f>IFERROR(INDEX('Com Measure Mapping'!$Y:$Y,MATCH($C18,'Com Measure Mapping'!$B:$B,0)),"N/A")</f>
        <v>0</v>
      </c>
      <c r="Q18" s="165">
        <f>IFERROR(INDEX('Com Measure Mapping'!$Z:$Z,MATCH($C18,'Com Measure Mapping'!$B:$B,0)),"N/A")</f>
        <v>0</v>
      </c>
      <c r="R18" s="167" t="str">
        <f t="shared" si="2"/>
        <v>N/A</v>
      </c>
      <c r="S18" s="166">
        <f t="shared" ref="S18:S23" si="46">ROUND((O18/(6/12))*0.55,0)</f>
        <v>0</v>
      </c>
      <c r="T18" s="166">
        <f t="shared" si="11"/>
        <v>0</v>
      </c>
      <c r="U18" s="66">
        <f t="shared" si="12"/>
        <v>0</v>
      </c>
      <c r="V18" s="66"/>
      <c r="W18" s="143">
        <f>IFERROR(INDEX('Com Measure Mapping'!$V:$V,MATCH($C18,'Com Measure Mapping'!$B:$B,0)),"N/A")</f>
        <v>2146.2999999999997</v>
      </c>
      <c r="X18" s="63">
        <v>2146.2999999999997</v>
      </c>
      <c r="Y18" s="63">
        <f t="shared" si="13"/>
        <v>0</v>
      </c>
      <c r="Z18" s="63">
        <f t="shared" si="3"/>
        <v>33.494115885909032</v>
      </c>
      <c r="AA18" s="63">
        <f t="shared" si="4"/>
        <v>0</v>
      </c>
      <c r="AB18" s="47">
        <v>15</v>
      </c>
      <c r="AC18" s="47">
        <f>IFERROR(INDEX('Com Measure Mapping'!$W:$W,MATCH($C18,'Com Measure Mapping'!$B:$B,0)),"N/A")</f>
        <v>15</v>
      </c>
      <c r="AD18" s="190">
        <f t="shared" si="14"/>
        <v>15</v>
      </c>
      <c r="AE18" s="146">
        <f t="shared" si="5"/>
        <v>0</v>
      </c>
      <c r="AF18" s="144">
        <f t="shared" si="15"/>
        <v>0</v>
      </c>
      <c r="AG18" s="49">
        <v>200</v>
      </c>
      <c r="AH18" s="49">
        <f>IFERROR(INDEX('Com Measure Mapping'!$X:$X,MATCH($C18,'Com Measure Mapping'!$B:$B,0)),"N/A")</f>
        <v>2009.443231101179</v>
      </c>
      <c r="AI18" s="49">
        <v>200</v>
      </c>
      <c r="AJ18" s="144">
        <f t="shared" si="16"/>
        <v>0</v>
      </c>
      <c r="AK18" s="154">
        <f t="shared" si="6"/>
        <v>0</v>
      </c>
      <c r="AL18" s="155">
        <f t="shared" si="7"/>
        <v>0</v>
      </c>
      <c r="AM18" s="70" t="str">
        <f>IFERROR(IF($E$3="Original",IF($AJ18=0,"-",(INDEX('APP 2885'!$G:$G,MATCH($D$2+$AB18-1,'APP 2885'!$A:$A,0))*$U18)/($AJ18+$AF18)),IF($AJ18=0,"-",(INDEX('APP 2885'!$G:$G,MATCH($D$2+$AD18-1,'APP 2885'!$A:$A,0))*$U18)/($AJ18+$AF18))),"N/A")</f>
        <v>-</v>
      </c>
      <c r="AN18" s="63">
        <f t="shared" si="8"/>
        <v>0</v>
      </c>
      <c r="AO18" s="63">
        <f t="shared" si="9"/>
        <v>0</v>
      </c>
      <c r="AP18" s="70" t="str">
        <f>IFERROR(IF($E$3="Original",IF($AA18=0,"-",(INDEX('APP 2885'!$E:$E,MATCH($D$2+$AB18-1,'APP 2885'!$A:$A,0))*$U18)/(AA18+AF18)),IF($AA18=0,"-",(INDEX('APP 2885'!$E:$E,MATCH($D$2+$AD18-1,'APP 2885'!$A:$A,0))*$U18)/(AA18+AF18))),"N/A")</f>
        <v>-</v>
      </c>
      <c r="AR18" s="204">
        <f>(INDEX('APP 2885'!$G:$G,MATCH($D$2+$AD18-1,'APP 2885'!$A:$A,0))*$N18)/($AI18+($E$57*N18/SUM($U$5:$U$42)))</f>
        <v>3.714055845972756</v>
      </c>
    </row>
    <row r="19" spans="2:44" ht="13.5" thickBot="1">
      <c r="B19" s="142" t="str">
        <f t="shared" si="0"/>
        <v>Domestic Hot Water Tanks - Condensing_Minimum 91% AFUE or 91% Thermal Efficiency</v>
      </c>
      <c r="C19" s="142" t="str">
        <f t="shared" si="1"/>
        <v>Domestic Hot Water Tanks - Condensing_Minimum 91% AFUE or 91% Thermal Efficiency</v>
      </c>
      <c r="D19" s="137" t="s">
        <v>274</v>
      </c>
      <c r="E19" s="137" t="s">
        <v>54</v>
      </c>
      <c r="F19" s="137" t="s">
        <v>8</v>
      </c>
      <c r="G19" s="138" t="s">
        <v>12</v>
      </c>
      <c r="H19" s="138" t="str">
        <f t="shared" si="17"/>
        <v>Minimum 91% AFUE or 91% Thermal Efficiency</v>
      </c>
      <c r="I19" s="52">
        <f>COUNTIF('All TRC 2022 Measure Data'!$B:$B,D19)</f>
        <v>15</v>
      </c>
      <c r="J19" s="162">
        <v>3.7987000000000002</v>
      </c>
      <c r="K19" s="53" t="s">
        <v>55</v>
      </c>
      <c r="L19" s="180">
        <f>IFERROR(INDEX('Com Measure Mapping'!$T:$T,MATCH($C19,'Com Measure Mapping'!$B:$B,0)),"N/A")</f>
        <v>4.6677798988400987</v>
      </c>
      <c r="M19" s="181" t="str">
        <f>IFERROR(INDEX('Com Measure Mapping'!$U:$U,MATCH($C19,'Com Measure Mapping'!$B:$B,0)),"N/A")</f>
        <v>1 kBtu/hr</v>
      </c>
      <c r="N19" s="182">
        <f>J19</f>
        <v>3.7987000000000002</v>
      </c>
      <c r="O19" s="67">
        <f>SUMIF('All TRC 2022 Measure Data'!$B:$B,D19,'All TRC 2022 Measure Data'!$W:$W)</f>
        <v>4297.7</v>
      </c>
      <c r="P19" s="184">
        <f>IFERROR(INDEX('Com Measure Mapping'!$Y:$Y,MATCH($C19,'Com Measure Mapping'!$B:$B,0)),"N/A")</f>
        <v>3146.9543637455163</v>
      </c>
      <c r="Q19" s="184">
        <f>IFERROR(INDEX('Com Measure Mapping'!$Z:$Z,MATCH($C19,'Com Measure Mapping'!$B:$B,0)),"N/A")</f>
        <v>3472.1844687802422</v>
      </c>
      <c r="R19" s="185">
        <f t="shared" si="2"/>
        <v>0.10334757592341948</v>
      </c>
      <c r="S19" s="186">
        <f t="shared" si="46"/>
        <v>4727</v>
      </c>
      <c r="T19" s="186">
        <f t="shared" si="11"/>
        <v>5216</v>
      </c>
      <c r="U19" s="168">
        <f t="shared" si="12"/>
        <v>17956.45</v>
      </c>
      <c r="V19" s="168"/>
      <c r="W19" s="187">
        <f>IFERROR(INDEX('Com Measure Mapping'!$V:$V,MATCH($C19,'Com Measure Mapping'!$B:$B,0)),"N/A")</f>
        <v>2.5692857142857157</v>
      </c>
      <c r="X19" s="64">
        <v>2.5692857142857157</v>
      </c>
      <c r="Y19" s="64">
        <f t="shared" si="13"/>
        <v>12145.013571428579</v>
      </c>
      <c r="Z19" s="64">
        <f t="shared" si="3"/>
        <v>1.3161273300943841</v>
      </c>
      <c r="AA19" s="64">
        <f t="shared" si="4"/>
        <v>5923.6796820724248</v>
      </c>
      <c r="AB19" s="52">
        <v>10</v>
      </c>
      <c r="AC19" s="189">
        <f>IFERROR(INDEX('Com Measure Mapping'!$W:$W,MATCH($C19,'Com Measure Mapping'!$B:$B,0)),"N/A")</f>
        <v>10</v>
      </c>
      <c r="AD19" s="188">
        <f t="shared" si="14"/>
        <v>10</v>
      </c>
      <c r="AE19" s="147">
        <f t="shared" si="5"/>
        <v>138251.8264814179</v>
      </c>
      <c r="AF19" s="145">
        <f t="shared" si="15"/>
        <v>56786.162356228851</v>
      </c>
      <c r="AG19" s="54">
        <v>3</v>
      </c>
      <c r="AH19" s="191">
        <f>IFERROR(INDEX('Com Measure Mapping'!$X:$X,MATCH($C19,'Com Measure Mapping'!$B:$B,0)),"N/A")</f>
        <v>1.1022368803602836</v>
      </c>
      <c r="AI19" s="54">
        <v>3</v>
      </c>
      <c r="AJ19" s="145">
        <f t="shared" si="16"/>
        <v>14181</v>
      </c>
      <c r="AK19" s="156">
        <f t="shared" si="6"/>
        <v>0.10257369006192504</v>
      </c>
      <c r="AL19" s="157">
        <f t="shared" si="7"/>
        <v>0.51331808166575932</v>
      </c>
      <c r="AM19" s="163">
        <f>IFERROR(IF($E$3="Original",IF($AJ19=0,"-",(INDEX('APP 2885'!$G:$G,MATCH($D$2+$AB19-1,'APP 2885'!$A:$A,0))*$U19)/($AJ19+$AF19)),IF($AJ19=0,"-",(INDEX('APP 2885'!$G:$G,MATCH($D$2+$AD19-1,'APP 2885'!$A:$A,0))*$U19)/($AJ19+$AF19))),"N/A")</f>
        <v>3.8289841962359814</v>
      </c>
      <c r="AN19" s="64">
        <f t="shared" si="8"/>
        <v>4.284702656618148E-2</v>
      </c>
      <c r="AO19" s="64">
        <f t="shared" si="9"/>
        <v>0.45359141817001569</v>
      </c>
      <c r="AP19" s="163">
        <f>IFERROR(IF($E$3="Original",IF($AA19=0,"-",(INDEX('APP 2885'!$E:$E,MATCH($D$2+$AB19-1,'APP 2885'!$A:$A,0))*$U19)/(AA19+AF19)),IF($AA19=0,"-",(INDEX('APP 2885'!$E:$E,MATCH($D$2+$AD19-1,'APP 2885'!$A:$A,0))*$U19)/(AA19+AF19))),"N/A")</f>
        <v>3.9392416402769554</v>
      </c>
      <c r="AR19" s="204"/>
    </row>
    <row r="20" spans="2:44" ht="13.5" thickBot="1">
      <c r="B20" s="142" t="str">
        <f t="shared" si="0"/>
        <v>Double Rack Oven_&gt;=50% Cooking Efficiency, &lt;=35,000 Btu/hr Idle Rate</v>
      </c>
      <c r="C20" s="142" t="str">
        <f t="shared" si="1"/>
        <v>Double Rack Oven_&gt;=50% Cooking Efficiency, &lt;=35,000 Btu/hr Idle Rate</v>
      </c>
      <c r="D20" s="135" t="s">
        <v>115</v>
      </c>
      <c r="E20" s="135" t="s">
        <v>23</v>
      </c>
      <c r="F20" s="135" t="s">
        <v>49</v>
      </c>
      <c r="G20" s="136" t="s">
        <v>50</v>
      </c>
      <c r="H20" s="136" t="str">
        <f t="shared" si="17"/>
        <v>&gt;=50% Cooking Efficiency, &lt;=35,000 Btu/hr Idle Rate</v>
      </c>
      <c r="I20" s="47">
        <f>COUNTIF('All TRC 2022 Measure Data'!$B:$B,D20)</f>
        <v>3</v>
      </c>
      <c r="J20" s="164">
        <v>1806</v>
      </c>
      <c r="K20" s="48" t="s">
        <v>21</v>
      </c>
      <c r="L20" s="164">
        <f>IFERROR(INDEX('Com Measure Mapping'!$T:$T,MATCH($C20,'Com Measure Mapping'!$B:$B,0)),"N/A")</f>
        <v>1977.8952877832098</v>
      </c>
      <c r="M20" s="66" t="str">
        <f>IFERROR(INDEX('Com Measure Mapping'!$U:$U,MATCH($C20,'Com Measure Mapping'!$B:$B,0)),"N/A")</f>
        <v>1 unit</v>
      </c>
      <c r="N20" s="183">
        <f t="shared" si="10"/>
        <v>1977.8952877832098</v>
      </c>
      <c r="O20" s="66">
        <f>SUMIF('All TRC 2022 Measure Data'!$B:$B,D20,'All TRC 2022 Measure Data'!$W:$W)</f>
        <v>3</v>
      </c>
      <c r="P20" s="165">
        <f>IFERROR(INDEX('Com Measure Mapping'!$Y:$Y,MATCH($C20,'Com Measure Mapping'!$B:$B,0)),"N/A")</f>
        <v>1.0639469776629653</v>
      </c>
      <c r="Q20" s="165">
        <f>IFERROR(INDEX('Com Measure Mapping'!$Z:$Z,MATCH($C20,'Com Measure Mapping'!$B:$B,0)),"N/A")</f>
        <v>1.5833281880811025</v>
      </c>
      <c r="R20" s="167">
        <f t="shared" si="2"/>
        <v>0.48816456207149977</v>
      </c>
      <c r="S20" s="166">
        <f t="shared" si="46"/>
        <v>3</v>
      </c>
      <c r="T20" s="166">
        <f t="shared" si="11"/>
        <v>4</v>
      </c>
      <c r="U20" s="66">
        <f t="shared" si="12"/>
        <v>5933.68</v>
      </c>
      <c r="V20" s="66"/>
      <c r="W20" s="143">
        <f>IFERROR(INDEX('Com Measure Mapping'!$V:$V,MATCH($C20,'Com Measure Mapping'!$B:$B,0)),"N/A")</f>
        <v>4434.63</v>
      </c>
      <c r="X20" s="63">
        <v>4434.63</v>
      </c>
      <c r="Y20" s="63">
        <f t="shared" si="13"/>
        <v>13303.89</v>
      </c>
      <c r="Z20" s="63">
        <f t="shared" si="3"/>
        <v>786.21352519650179</v>
      </c>
      <c r="AA20" s="63">
        <f t="shared" si="4"/>
        <v>10945.249424410495</v>
      </c>
      <c r="AB20" s="47">
        <v>12</v>
      </c>
      <c r="AC20" s="47">
        <f>IFERROR(INDEX('Com Measure Mapping'!$W:$W,MATCH($C20,'Com Measure Mapping'!$B:$B,0)),"N/A")</f>
        <v>12</v>
      </c>
      <c r="AD20" s="190">
        <f t="shared" si="14"/>
        <v>12</v>
      </c>
      <c r="AE20" s="146">
        <f t="shared" si="5"/>
        <v>52414.183220168619</v>
      </c>
      <c r="AF20" s="144">
        <f t="shared" si="15"/>
        <v>18764.895948247457</v>
      </c>
      <c r="AG20" s="49">
        <v>2500</v>
      </c>
      <c r="AH20" s="49">
        <f>IFERROR(INDEX('Com Measure Mapping'!$X:$X,MATCH($C20,'Com Measure Mapping'!$B:$B,0)),"N/A")</f>
        <v>2685.7005208333335</v>
      </c>
      <c r="AI20" s="49">
        <v>2700</v>
      </c>
      <c r="AJ20" s="144">
        <f t="shared" si="16"/>
        <v>8100</v>
      </c>
      <c r="AK20" s="154">
        <f t="shared" si="6"/>
        <v>0.1545383234529385</v>
      </c>
      <c r="AL20" s="155">
        <f t="shared" si="7"/>
        <v>0.51255012093577812</v>
      </c>
      <c r="AM20" s="70">
        <f>IFERROR(IF($E$3="Original",IF($AJ20=0,"-",(INDEX('APP 2885'!$G:$G,MATCH($D$2+$AB20-1,'APP 2885'!$A:$A,0))*$U20)/($AJ20+$AF20)),IF($AJ20=0,"-",(INDEX('APP 2885'!$G:$G,MATCH($D$2+$AD20-1,'APP 2885'!$A:$A,0))*$U20)/($AJ20+$AF20))),"N/A")</f>
        <v>3.9108068301910746</v>
      </c>
      <c r="AN20" s="63">
        <f t="shared" si="8"/>
        <v>0.20882228343489359</v>
      </c>
      <c r="AO20" s="63">
        <f t="shared" si="9"/>
        <v>0.56683408091773313</v>
      </c>
      <c r="AP20" s="70">
        <f>IFERROR(IF($E$3="Original",IF($AA20=0,"-",(INDEX('APP 2885'!$E:$E,MATCH($D$2+$AB20-1,'APP 2885'!$A:$A,0))*$U20)/(AA20+AF20)),IF($AA20=0,"-",(INDEX('APP 2885'!$E:$E,MATCH($D$2+$AD20-1,'APP 2885'!$A:$A,0))*$U20)/(AA20+AF20))),"N/A")</f>
        <v>3.2148007860295014</v>
      </c>
      <c r="AR20" s="204"/>
    </row>
    <row r="21" spans="2:44" ht="13.5" thickBot="1">
      <c r="B21" s="142" t="str">
        <f t="shared" si="0"/>
        <v>Energy Saver Kit A_PRSV &lt;=1 gpm / Aerators &lt;=.75 gpm</v>
      </c>
      <c r="C21" s="142" t="str">
        <f t="shared" si="1"/>
        <v>Energy Saver Kit A_PRSV &lt;=1 gpm / Aerators &lt;=.75 gpm</v>
      </c>
      <c r="D21" s="137" t="s">
        <v>116</v>
      </c>
      <c r="E21" s="137" t="s">
        <v>41</v>
      </c>
      <c r="F21" s="137" t="s">
        <v>219</v>
      </c>
      <c r="G21" s="138" t="s">
        <v>42</v>
      </c>
      <c r="H21" s="138" t="str">
        <f t="shared" si="17"/>
        <v>PRSV &lt;=1 gpm / Aerators &lt;=.75 gpm</v>
      </c>
      <c r="I21" s="52">
        <f>COUNTIF('All TRC 2022 Measure Data'!$B:$B,D21)</f>
        <v>0</v>
      </c>
      <c r="J21" s="162">
        <v>89</v>
      </c>
      <c r="K21" s="53" t="s">
        <v>43</v>
      </c>
      <c r="L21" s="180" t="str">
        <f>IFERROR(INDEX('Com Measure Mapping'!$T:$T,MATCH($C21,'Com Measure Mapping'!$B:$B,0)),"N/A")</f>
        <v>N/A</v>
      </c>
      <c r="M21" s="181" t="str">
        <f>IFERROR(INDEX('Com Measure Mapping'!$U:$U,MATCH($C21,'Com Measure Mapping'!$B:$B,0)),"N/A")</f>
        <v>N/A</v>
      </c>
      <c r="N21" s="182">
        <f t="shared" si="10"/>
        <v>89</v>
      </c>
      <c r="O21" s="67">
        <f>SUMIF('All TRC 2022 Measure Data'!$B:$B,D21,'All TRC 2022 Measure Data'!$W:$W)</f>
        <v>0</v>
      </c>
      <c r="P21" s="184" t="str">
        <f>IFERROR(INDEX('Com Measure Mapping'!$Y:$Y,MATCH($C21,'Com Measure Mapping'!$B:$B,0)),"N/A")</f>
        <v>N/A</v>
      </c>
      <c r="Q21" s="184" t="str">
        <f>IFERROR(INDEX('Com Measure Mapping'!$Z:$Z,MATCH($C21,'Com Measure Mapping'!$B:$B,0)),"N/A")</f>
        <v>N/A</v>
      </c>
      <c r="R21" s="185" t="str">
        <f t="shared" si="2"/>
        <v>N/A</v>
      </c>
      <c r="S21" s="186">
        <f t="shared" si="46"/>
        <v>0</v>
      </c>
      <c r="T21" s="186">
        <f t="shared" si="11"/>
        <v>0</v>
      </c>
      <c r="U21" s="168">
        <f t="shared" si="12"/>
        <v>0</v>
      </c>
      <c r="V21" s="168"/>
      <c r="W21" s="187" t="str">
        <f>IFERROR(INDEX('Com Measure Mapping'!$V:$V,MATCH($C21,'Com Measure Mapping'!$B:$B,0)),"N/A")</f>
        <v>N/A</v>
      </c>
      <c r="X21" s="64">
        <v>0</v>
      </c>
      <c r="Y21" s="64">
        <f t="shared" si="13"/>
        <v>0</v>
      </c>
      <c r="Z21" s="64">
        <f t="shared" si="3"/>
        <v>17.310832645238996</v>
      </c>
      <c r="AA21" s="64">
        <f t="shared" si="4"/>
        <v>0</v>
      </c>
      <c r="AB21" s="52">
        <v>5</v>
      </c>
      <c r="AC21" s="189" t="str">
        <f>IFERROR(INDEX('Com Measure Mapping'!$W:$W,MATCH($C21,'Com Measure Mapping'!$B:$B,0)),"N/A")</f>
        <v>N/A</v>
      </c>
      <c r="AD21" s="188">
        <f t="shared" si="14"/>
        <v>5</v>
      </c>
      <c r="AE21" s="147">
        <f t="shared" si="5"/>
        <v>0</v>
      </c>
      <c r="AF21" s="145">
        <f t="shared" si="15"/>
        <v>0</v>
      </c>
      <c r="AG21" s="54">
        <v>0</v>
      </c>
      <c r="AH21" s="191" t="str">
        <f>IFERROR(INDEX('Com Measure Mapping'!$X:$X,MATCH($C21,'Com Measure Mapping'!$B:$B,0)),"N/A")</f>
        <v>N/A</v>
      </c>
      <c r="AI21" s="54">
        <v>0</v>
      </c>
      <c r="AJ21" s="145">
        <f t="shared" si="16"/>
        <v>0</v>
      </c>
      <c r="AK21" s="156">
        <f t="shared" si="6"/>
        <v>0</v>
      </c>
      <c r="AL21" s="157">
        <f t="shared" si="7"/>
        <v>0</v>
      </c>
      <c r="AM21" s="163" t="str">
        <f>IFERROR(IF($E$3="Original",IF($AJ21=0,"-",(INDEX('APP 2885'!$G:$G,MATCH($D$2+$AB21-1,'APP 2885'!$A:$A,0))*$U21)/($AJ21+$AF21)),IF($AJ21=0,"-",(INDEX('APP 2885'!$G:$G,MATCH($D$2+$AD21-1,'APP 2885'!$A:$A,0))*$U21)/($AJ21+$AF21))),"N/A")</f>
        <v>-</v>
      </c>
      <c r="AN21" s="64">
        <f t="shared" si="8"/>
        <v>0</v>
      </c>
      <c r="AO21" s="64">
        <f t="shared" si="9"/>
        <v>0</v>
      </c>
      <c r="AP21" s="163" t="str">
        <f>IFERROR(IF($E$3="Original",IF($AA21=0,"-",(INDEX('APP 2885'!$E:$E,MATCH($D$2+$AB21-1,'APP 2885'!$A:$A,0))*$U21)/(AA21+AF21)),IF($AA21=0,"-",(INDEX('APP 2885'!$E:$E,MATCH($D$2+$AD21-1,'APP 2885'!$A:$A,0))*$U21)/(AA21+AF21))),"N/A")</f>
        <v>-</v>
      </c>
      <c r="AR21" s="204"/>
    </row>
    <row r="22" spans="2:44" ht="13.5" thickBot="1">
      <c r="B22" s="142" t="str">
        <f t="shared" si="0"/>
        <v>Gas Conveyor Oven_&gt;=42% Baking Efficiency</v>
      </c>
      <c r="C22" s="142" t="str">
        <f t="shared" si="1"/>
        <v>Gas Conveyor Oven_&gt;=42% Baking Efficiency</v>
      </c>
      <c r="D22" s="135" t="s">
        <v>308</v>
      </c>
      <c r="E22" s="135" t="s">
        <v>29</v>
      </c>
      <c r="F22" s="135" t="s">
        <v>56</v>
      </c>
      <c r="G22" s="136" t="s">
        <v>57</v>
      </c>
      <c r="H22" s="136" t="str">
        <f t="shared" si="17"/>
        <v>&gt;=42% Baking Efficiency</v>
      </c>
      <c r="I22" s="47">
        <f>COUNTIF('All TRC 2022 Measure Data'!$B:$B,D22)</f>
        <v>0</v>
      </c>
      <c r="J22" s="164">
        <v>660.81060000000002</v>
      </c>
      <c r="K22" s="48" t="s">
        <v>48</v>
      </c>
      <c r="L22" s="164">
        <f>IFERROR(INDEX('Com Measure Mapping'!$T:$T,MATCH($C22,'Com Measure Mapping'!$B:$B,0)),"N/A")</f>
        <v>676.826654163699</v>
      </c>
      <c r="M22" s="66" t="str">
        <f>IFERROR(INDEX('Com Measure Mapping'!$U:$U,MATCH($C22,'Com Measure Mapping'!$B:$B,0)),"N/A")</f>
        <v>1 unit</v>
      </c>
      <c r="N22" s="183">
        <f t="shared" si="10"/>
        <v>676.826654163699</v>
      </c>
      <c r="O22" s="66">
        <f>SUMIF('All TRC 2022 Measure Data'!$B:$B,D22,'All TRC 2022 Measure Data'!$W:$W)</f>
        <v>0</v>
      </c>
      <c r="P22" s="165">
        <f>IFERROR(INDEX('Com Measure Mapping'!$Y:$Y,MATCH($C22,'Com Measure Mapping'!$B:$B,0)),"N/A")</f>
        <v>6.7965408084195295E-2</v>
      </c>
      <c r="Q22" s="165">
        <f>IFERROR(INDEX('Com Measure Mapping'!$Z:$Z,MATCH($C22,'Com Measure Mapping'!$B:$B,0)),"N/A")</f>
        <v>0.25436652970833951</v>
      </c>
      <c r="R22" s="167">
        <f t="shared" si="2"/>
        <v>2.7425881323809782</v>
      </c>
      <c r="S22" s="166">
        <f t="shared" si="46"/>
        <v>0</v>
      </c>
      <c r="T22" s="166">
        <f t="shared" si="11"/>
        <v>0</v>
      </c>
      <c r="U22" s="66">
        <f t="shared" si="12"/>
        <v>0</v>
      </c>
      <c r="V22" s="66"/>
      <c r="W22" s="143">
        <f>IFERROR(INDEX('Com Measure Mapping'!$V:$V,MATCH($C22,'Com Measure Mapping'!$B:$B,0)),"N/A")</f>
        <v>2314.5436363636363</v>
      </c>
      <c r="X22" s="63">
        <v>2314.5436363636363</v>
      </c>
      <c r="Y22" s="63">
        <f t="shared" si="13"/>
        <v>0</v>
      </c>
      <c r="Z22" s="63">
        <f t="shared" si="3"/>
        <v>341.84288146168177</v>
      </c>
      <c r="AA22" s="63">
        <f t="shared" si="4"/>
        <v>0</v>
      </c>
      <c r="AB22" s="47">
        <v>17</v>
      </c>
      <c r="AC22" s="47">
        <f>IFERROR(INDEX('Com Measure Mapping'!$W:$W,MATCH($C22,'Com Measure Mapping'!$B:$B,0)),"N/A")</f>
        <v>17</v>
      </c>
      <c r="AD22" s="190">
        <f t="shared" si="14"/>
        <v>17</v>
      </c>
      <c r="AE22" s="146">
        <f t="shared" si="5"/>
        <v>0</v>
      </c>
      <c r="AF22" s="144">
        <f t="shared" si="15"/>
        <v>0</v>
      </c>
      <c r="AG22" s="49">
        <v>700</v>
      </c>
      <c r="AH22" s="49">
        <f>IFERROR(INDEX('Com Measure Mapping'!$X:$X,MATCH($C22,'Com Measure Mapping'!$B:$B,0)),"N/A")</f>
        <v>467.06037505095804</v>
      </c>
      <c r="AI22" s="49">
        <v>700</v>
      </c>
      <c r="AJ22" s="144">
        <f t="shared" si="16"/>
        <v>0</v>
      </c>
      <c r="AK22" s="154">
        <f t="shared" si="6"/>
        <v>0</v>
      </c>
      <c r="AL22" s="155">
        <f t="shared" si="7"/>
        <v>0</v>
      </c>
      <c r="AM22" s="70" t="str">
        <f>IFERROR(IF($E$3="Original",IF($AJ22=0,"-",(INDEX('APP 2885'!$G:$G,MATCH($D$2+$AB22-1,'APP 2885'!$A:$A,0))*$U22)/($AJ22+$AF22)),IF($AJ22=0,"-",(INDEX('APP 2885'!$G:$G,MATCH($D$2+$AD22-1,'APP 2885'!$A:$A,0))*$U22)/($AJ22+$AF22))),"N/A")</f>
        <v>-</v>
      </c>
      <c r="AN22" s="63">
        <f t="shared" si="8"/>
        <v>0</v>
      </c>
      <c r="AO22" s="63">
        <f t="shared" si="9"/>
        <v>0</v>
      </c>
      <c r="AP22" s="70" t="str">
        <f>IFERROR(IF($E$3="Original",IF($AA22=0,"-",(INDEX('APP 2885'!$E:$E,MATCH($D$2+$AB22-1,'APP 2885'!$A:$A,0))*$U22)/(AA22+AF22)),IF($AA22=0,"-",(INDEX('APP 2885'!$E:$E,MATCH($D$2+$AD22-1,'APP 2885'!$A:$A,0))*$U22)/(AA22+AF22))),"N/A")</f>
        <v>-</v>
      </c>
      <c r="AR22" s="204">
        <f>(INDEX('APP 2885'!$G:$G,MATCH($D$2+$AD22-1,'APP 2885'!$A:$A,0))*$N22)/($AI22+($E$57*N22/SUM($U$5:$U$42)))</f>
        <v>5.9174708523272601</v>
      </c>
    </row>
    <row r="23" spans="2:44" ht="13.5" thickBot="1">
      <c r="B23" s="142" t="str">
        <f t="shared" si="0"/>
        <v>Griddle (Grocery)_&gt;=38% Cooking Efficiency,&lt;= 2650 Btu/hr-sq ft Idle Rate</v>
      </c>
      <c r="C23" s="142" t="str">
        <f t="shared" si="1"/>
        <v>Griddle (Grocery)_&gt;=38% Cooking Efficiency,&lt;= 2650 Btu/hr-sq ft Idle Rate</v>
      </c>
      <c r="D23" s="137" t="s">
        <v>309</v>
      </c>
      <c r="E23" s="137" t="s">
        <v>845</v>
      </c>
      <c r="F23" s="137" t="s">
        <v>9</v>
      </c>
      <c r="G23" s="138" t="s">
        <v>52</v>
      </c>
      <c r="H23" s="138" t="str">
        <f t="shared" si="17"/>
        <v>&gt;=38% Cooking Efficiency,&lt;= 2650 Btu/hr-sq ft Idle Rate</v>
      </c>
      <c r="I23" s="52">
        <f>COUNTIF('All TRC 2022 Measure Data'!$B:$B,D23)</f>
        <v>0</v>
      </c>
      <c r="J23" s="162">
        <v>155</v>
      </c>
      <c r="K23" s="53" t="s">
        <v>53</v>
      </c>
      <c r="L23" s="180">
        <f>IFERROR(INDEX('Com Measure Mapping'!$T:$T,MATCH($C23,'Com Measure Mapping'!$B:$B,0)),"N/A")</f>
        <v>172.06968037523859</v>
      </c>
      <c r="M23" s="181" t="str">
        <f>IFERROR(INDEX('Com Measure Mapping'!$U:$U,MATCH($C23,'Com Measure Mapping'!$B:$B,0)),"N/A")</f>
        <v>1 unit</v>
      </c>
      <c r="N23" s="182">
        <f t="shared" ref="N23:N29" si="47">J23</f>
        <v>155</v>
      </c>
      <c r="O23" s="67">
        <f>SUMIF('All TRC 2022 Measure Data'!$B:$B,D23,'All TRC 2022 Measure Data'!$W:$W)</f>
        <v>0</v>
      </c>
      <c r="P23" s="184">
        <f>IFERROR(INDEX('Com Measure Mapping'!$Y:$Y,MATCH($C23,'Com Measure Mapping'!$B:$B,0)),"N/A")</f>
        <v>0.3447745439022854</v>
      </c>
      <c r="Q23" s="184">
        <f>IFERROR(INDEX('Com Measure Mapping'!$Z:$Z,MATCH($C23,'Com Measure Mapping'!$B:$B,0)),"N/A")</f>
        <v>0.48822108916026641</v>
      </c>
      <c r="R23" s="185">
        <f t="shared" si="2"/>
        <v>0.41605898055697538</v>
      </c>
      <c r="S23" s="186">
        <f t="shared" si="46"/>
        <v>0</v>
      </c>
      <c r="T23" s="186">
        <f t="shared" si="11"/>
        <v>0</v>
      </c>
      <c r="U23" s="168">
        <f t="shared" si="12"/>
        <v>0</v>
      </c>
      <c r="V23" s="168"/>
      <c r="W23" s="187">
        <f>IFERROR(INDEX('Com Measure Mapping'!$V:$V,MATCH($C23,'Com Measure Mapping'!$B:$B,0)),"N/A")</f>
        <v>404.88</v>
      </c>
      <c r="X23" s="64">
        <v>1048</v>
      </c>
      <c r="Y23" s="64">
        <f t="shared" si="13"/>
        <v>0</v>
      </c>
      <c r="Z23" s="64">
        <f t="shared" si="3"/>
        <v>61.612511621906833</v>
      </c>
      <c r="AA23" s="64">
        <f t="shared" si="4"/>
        <v>0</v>
      </c>
      <c r="AB23" s="52">
        <v>12</v>
      </c>
      <c r="AC23" s="189">
        <f>IFERROR(INDEX('Com Measure Mapping'!$W:$W,MATCH($C23,'Com Measure Mapping'!$B:$B,0)),"N/A")</f>
        <v>12</v>
      </c>
      <c r="AD23" s="188">
        <f t="shared" si="14"/>
        <v>12</v>
      </c>
      <c r="AE23" s="147">
        <f t="shared" si="5"/>
        <v>0</v>
      </c>
      <c r="AF23" s="145">
        <f t="shared" si="15"/>
        <v>0</v>
      </c>
      <c r="AG23" s="54">
        <v>600</v>
      </c>
      <c r="AH23" s="191">
        <f>IFERROR(INDEX('Com Measure Mapping'!$X:$X,MATCH($C23,'Com Measure Mapping'!$B:$B,0)),"N/A")</f>
        <v>404.87810000000002</v>
      </c>
      <c r="AI23" s="54">
        <v>600</v>
      </c>
      <c r="AJ23" s="145">
        <f t="shared" si="16"/>
        <v>0</v>
      </c>
      <c r="AK23" s="156">
        <f t="shared" ref="AK23:AK42" si="48">IF(ISERROR(AJ23/AE23),0,AJ23/AE23)</f>
        <v>0</v>
      </c>
      <c r="AL23" s="157">
        <f t="shared" si="7"/>
        <v>0</v>
      </c>
      <c r="AM23" s="163" t="str">
        <f>IFERROR(IF($E$3="Original",IF($AJ23=0,"-",(INDEX('APP 2885'!$G:$G,MATCH($D$2+$AB23-1,'APP 2885'!$A:$A,0))*$U23)/($AJ23+$AF23)),IF($AJ23=0,"-",(INDEX('APP 2885'!$G:$G,MATCH($D$2+$AD23-1,'APP 2885'!$A:$A,0))*$U23)/($AJ23+$AF23))),"N/A")</f>
        <v>-</v>
      </c>
      <c r="AN23" s="64">
        <f t="shared" si="8"/>
        <v>0</v>
      </c>
      <c r="AO23" s="64">
        <f t="shared" si="9"/>
        <v>0</v>
      </c>
      <c r="AP23" s="163" t="str">
        <f>IFERROR(IF($E$3="Original",IF($AA23=0,"-",(INDEX('APP 2885'!$E:$E,MATCH($D$2+$AB23-1,'APP 2885'!$A:$A,0))*$U23)/(AA23+AF23)),IF($AA23=0,"-",(INDEX('APP 2885'!$E:$E,MATCH($D$2+$AD23-1,'APP 2885'!$A:$A,0))*$U23)/(AA23+AF23))),"N/A")</f>
        <v>-</v>
      </c>
      <c r="AR23" s="203">
        <f>(INDEX('APP 2885'!$G:$G,MATCH($D$2+$AD23-1,'APP 2885'!$A:$A,0))*$N23)/($AI23+($E$57*N23/SUM($U$5:$U$42)))</f>
        <v>2.5174550575309689</v>
      </c>
    </row>
    <row r="24" spans="2:44" ht="13.5" thickBot="1">
      <c r="B24" s="142" t="str">
        <f t="shared" ref="B24:B26" si="49">E24&amp;"_"&amp;H24</f>
        <v>Griddle (Lodging)_&gt;=38% Cooking Efficiency,&lt;= 2650 Btu/hr-sq ft Idle Rate</v>
      </c>
      <c r="C24" s="142" t="str">
        <f t="shared" ref="C24:C26" si="50">E24&amp;"_"&amp;G24</f>
        <v>Griddle (Lodging)_&gt;=38% Cooking Efficiency,&lt;= 2650 Btu/hr-sq ft Idle Rate</v>
      </c>
      <c r="D24" s="135" t="s">
        <v>849</v>
      </c>
      <c r="E24" s="135" t="s">
        <v>89</v>
      </c>
      <c r="F24" s="135" t="s">
        <v>9</v>
      </c>
      <c r="G24" s="136" t="s">
        <v>52</v>
      </c>
      <c r="H24" s="136" t="str">
        <f t="shared" ref="H24:H26" si="51">G24</f>
        <v>&gt;=38% Cooking Efficiency,&lt;= 2650 Btu/hr-sq ft Idle Rate</v>
      </c>
      <c r="I24" s="47">
        <f>COUNTIF('All TRC 2022 Measure Data'!$B:$B,D24)</f>
        <v>0</v>
      </c>
      <c r="J24" s="164">
        <v>92</v>
      </c>
      <c r="K24" s="48" t="s">
        <v>53</v>
      </c>
      <c r="L24" s="164">
        <f>IFERROR(INDEX('Com Measure Mapping'!$T:$T,MATCH($C24,'Com Measure Mapping'!$B:$B,0)),"N/A")</f>
        <v>172.06968037523845</v>
      </c>
      <c r="M24" s="66" t="str">
        <f>IFERROR(INDEX('Com Measure Mapping'!$U:$U,MATCH($C24,'Com Measure Mapping'!$B:$B,0)),"N/A")</f>
        <v>1 unit</v>
      </c>
      <c r="N24" s="183">
        <f t="shared" si="47"/>
        <v>92</v>
      </c>
      <c r="O24" s="66">
        <f>SUMIF('All TRC 2022 Measure Data'!$B:$B,D24,'All TRC 2022 Measure Data'!$W:$W)</f>
        <v>0</v>
      </c>
      <c r="P24" s="165">
        <f>IFERROR(INDEX('Com Measure Mapping'!$Y:$Y,MATCH($C24,'Com Measure Mapping'!$B:$B,0)),"N/A")</f>
        <v>9.8249748420552174E-2</v>
      </c>
      <c r="Q24" s="165">
        <f>IFERROR(INDEX('Com Measure Mapping'!$Z:$Z,MATCH($C24,'Com Measure Mapping'!$B:$B,0)),"N/A")</f>
        <v>0.13912743858838639</v>
      </c>
      <c r="R24" s="167">
        <f t="shared" ref="R24:R26" si="52">IFERROR((Q24-P24)/P24,"N/A")</f>
        <v>0.4160589805569751</v>
      </c>
      <c r="S24" s="166">
        <f t="shared" ref="S24:S26" si="53">ROUND((O24/(6/12))*0.55,0)</f>
        <v>0</v>
      </c>
      <c r="T24" s="166">
        <f t="shared" ref="T24:T26" si="54">ROUND(IFERROR((S24*IF(R24&gt;50%,(1+(R24-19.5%)),(1+R24))),S24),0)</f>
        <v>0</v>
      </c>
      <c r="U24" s="66">
        <f t="shared" ref="U24:U26" si="55">IF($E$3="Original",ROUNDDOWN(O24*J24,2),ROUNDDOWN(S24*N24,2))</f>
        <v>0</v>
      </c>
      <c r="V24" s="66"/>
      <c r="W24" s="143">
        <f>IFERROR(INDEX('Com Measure Mapping'!$V:$V,MATCH($C24,'Com Measure Mapping'!$B:$B,0)),"N/A")</f>
        <v>404.88</v>
      </c>
      <c r="X24" s="63">
        <v>1048</v>
      </c>
      <c r="Y24" s="63">
        <f t="shared" ref="Y24:Y26" si="56">IF($E$3="Original",O24*V24,S24*X24)</f>
        <v>0</v>
      </c>
      <c r="Z24" s="63">
        <f t="shared" si="3"/>
        <v>36.570006898164053</v>
      </c>
      <c r="AA24" s="63">
        <f t="shared" ref="AA24:AA26" si="57">IF($E$3="Original",MAX(0,O24*(V24-Z24)),MAX(0,S24*(X24-Z24)))</f>
        <v>0</v>
      </c>
      <c r="AB24" s="47">
        <v>12</v>
      </c>
      <c r="AC24" s="47">
        <f>IFERROR(INDEX('Com Measure Mapping'!$W:$W,MATCH($C24,'Com Measure Mapping'!$B:$B,0)),"N/A")</f>
        <v>12</v>
      </c>
      <c r="AD24" s="190">
        <f t="shared" ref="AD24:AD26" si="58">IF(AC24="N/A",AB24,AC24)</f>
        <v>12</v>
      </c>
      <c r="AE24" s="146">
        <f t="shared" ref="AE24:AE26" si="59">IF($E$3="Original",PV($E$54,AB24,-U24),PV($E$54,AD24,-U24))</f>
        <v>0</v>
      </c>
      <c r="AF24" s="144">
        <f t="shared" ref="AF24:AF26" si="60">$E$57*U24/SUM($U$5:$U$42)</f>
        <v>0</v>
      </c>
      <c r="AG24" s="49">
        <v>600</v>
      </c>
      <c r="AH24" s="49">
        <f>IFERROR(INDEX('Com Measure Mapping'!$X:$X,MATCH($C24,'Com Measure Mapping'!$B:$B,0)),"N/A")</f>
        <v>404.87810000000002</v>
      </c>
      <c r="AI24" s="49">
        <v>600</v>
      </c>
      <c r="AJ24" s="144">
        <f t="shared" ref="AJ24:AJ26" si="61">IF($E$3="Original",O24*AG24,S24*AI24)</f>
        <v>0</v>
      </c>
      <c r="AK24" s="154">
        <f t="shared" ref="AK24:AK26" si="62">IF(ISERROR(AJ24/AE24),0,AJ24/AE24)</f>
        <v>0</v>
      </c>
      <c r="AL24" s="155">
        <f t="shared" ref="AL24:AL26" si="63">IF(AE24=0,0,(AJ24+AF24)/AE24)</f>
        <v>0</v>
      </c>
      <c r="AM24" s="70" t="str">
        <f>IFERROR(IF($E$3="Original",IF($AJ24=0,"-",(INDEX('APP 2885'!$G:$G,MATCH($D$2+$AB24-1,'APP 2885'!$A:$A,0))*$U24)/($AJ24+$AF24)),IF($AJ24=0,"-",(INDEX('APP 2885'!$G:$G,MATCH($D$2+$AD24-1,'APP 2885'!$A:$A,0))*$U24)/($AJ24+$AF24))),"N/A")</f>
        <v>-</v>
      </c>
      <c r="AN24" s="63">
        <f t="shared" ref="AN24:AN26" si="64">IF(ISERROR(AA24/AE24),0,AA24/AE24)</f>
        <v>0</v>
      </c>
      <c r="AO24" s="63">
        <f t="shared" ref="AO24:AO26" si="65">IF(AE24=0,0,(AA24+AF24)/AE24)</f>
        <v>0</v>
      </c>
      <c r="AP24" s="70" t="str">
        <f>IFERROR(IF($E$3="Original",IF($AA24=0,"-",(INDEX('APP 2885'!$E:$E,MATCH($D$2+$AB24-1,'APP 2885'!$A:$A,0))*$U24)/(AA24+AF24)),IF($AA24=0,"-",(INDEX('APP 2885'!$E:$E,MATCH($D$2+$AD24-1,'APP 2885'!$A:$A,0))*$U24)/(AA24+AF24))),"N/A")</f>
        <v>-</v>
      </c>
      <c r="AR24" s="204">
        <f>(INDEX('APP 2885'!$G:$G,MATCH($D$2+$AD24-1,'APP 2885'!$A:$A,0))*$N24)/($AI24+($E$57*N24/SUM($U$5:$U$42)))</f>
        <v>1.8283724797008645</v>
      </c>
    </row>
    <row r="25" spans="2:44" ht="13.5" thickBot="1">
      <c r="B25" s="142" t="str">
        <f t="shared" si="49"/>
        <v>Griddle (Restaurant)_&gt;=38% Cooking Efficiency,&lt;= 2650 Btu/hr-sq ft Idle Rate</v>
      </c>
      <c r="C25" s="142" t="str">
        <f t="shared" si="50"/>
        <v>Griddle (Restaurant)_&gt;=38% Cooking Efficiency,&lt;= 2650 Btu/hr-sq ft Idle Rate</v>
      </c>
      <c r="D25" s="137" t="s">
        <v>850</v>
      </c>
      <c r="E25" s="137" t="s">
        <v>51</v>
      </c>
      <c r="F25" s="137" t="s">
        <v>9</v>
      </c>
      <c r="G25" s="138" t="s">
        <v>52</v>
      </c>
      <c r="H25" s="138" t="str">
        <f t="shared" si="51"/>
        <v>&gt;=38% Cooking Efficiency,&lt;= 2650 Btu/hr-sq ft Idle Rate</v>
      </c>
      <c r="I25" s="52">
        <f>COUNTIF('All TRC 2022 Measure Data'!$B:$B,D25)</f>
        <v>0</v>
      </c>
      <c r="J25" s="162">
        <v>273</v>
      </c>
      <c r="K25" s="53" t="s">
        <v>53</v>
      </c>
      <c r="L25" s="180">
        <f>IFERROR(INDEX('Com Measure Mapping'!$T:$T,MATCH($C25,'Com Measure Mapping'!$B:$B,0)),"N/A")</f>
        <v>172.06968037523851</v>
      </c>
      <c r="M25" s="181" t="str">
        <f>IFERROR(INDEX('Com Measure Mapping'!$U:$U,MATCH($C25,'Com Measure Mapping'!$B:$B,0)),"N/A")</f>
        <v>1 unit</v>
      </c>
      <c r="N25" s="182">
        <f t="shared" si="47"/>
        <v>273</v>
      </c>
      <c r="O25" s="67">
        <f>SUMIF('All TRC 2022 Measure Data'!$B:$B,D25,'All TRC 2022 Measure Data'!$W:$W)</f>
        <v>0</v>
      </c>
      <c r="P25" s="184">
        <f>IFERROR(INDEX('Com Measure Mapping'!$Y:$Y,MATCH($C25,'Com Measure Mapping'!$B:$B,0)),"N/A")</f>
        <v>6.4570273192920062</v>
      </c>
      <c r="Q25" s="184">
        <f>IFERROR(INDEX('Com Measure Mapping'!$Z:$Z,MATCH($C25,'Com Measure Mapping'!$B:$B,0)),"N/A")</f>
        <v>9.1435315231851764</v>
      </c>
      <c r="R25" s="185">
        <f t="shared" si="52"/>
        <v>0.41605898055697516</v>
      </c>
      <c r="S25" s="186">
        <f t="shared" si="53"/>
        <v>0</v>
      </c>
      <c r="T25" s="186">
        <f t="shared" si="54"/>
        <v>0</v>
      </c>
      <c r="U25" s="168">
        <f t="shared" si="55"/>
        <v>0</v>
      </c>
      <c r="V25" s="168"/>
      <c r="W25" s="187">
        <f>IFERROR(INDEX('Com Measure Mapping'!$V:$V,MATCH($C25,'Com Measure Mapping'!$B:$B,0)),"N/A")</f>
        <v>404.88</v>
      </c>
      <c r="X25" s="64">
        <v>1048</v>
      </c>
      <c r="Y25" s="64">
        <f t="shared" si="56"/>
        <v>0</v>
      </c>
      <c r="Z25" s="64">
        <f t="shared" si="3"/>
        <v>108.51752046955204</v>
      </c>
      <c r="AA25" s="64">
        <f t="shared" si="57"/>
        <v>0</v>
      </c>
      <c r="AB25" s="52">
        <v>12</v>
      </c>
      <c r="AC25" s="189">
        <f>IFERROR(INDEX('Com Measure Mapping'!$W:$W,MATCH($C25,'Com Measure Mapping'!$B:$B,0)),"N/A")</f>
        <v>12</v>
      </c>
      <c r="AD25" s="188">
        <f t="shared" si="58"/>
        <v>12</v>
      </c>
      <c r="AE25" s="147">
        <f t="shared" si="59"/>
        <v>0</v>
      </c>
      <c r="AF25" s="145">
        <f t="shared" si="60"/>
        <v>0</v>
      </c>
      <c r="AG25" s="54">
        <v>600</v>
      </c>
      <c r="AH25" s="191">
        <f>IFERROR(INDEX('Com Measure Mapping'!$X:$X,MATCH($C25,'Com Measure Mapping'!$B:$B,0)),"N/A")</f>
        <v>404.87810000000002</v>
      </c>
      <c r="AI25" s="54">
        <v>600</v>
      </c>
      <c r="AJ25" s="145">
        <f t="shared" si="61"/>
        <v>0</v>
      </c>
      <c r="AK25" s="156">
        <f t="shared" si="62"/>
        <v>0</v>
      </c>
      <c r="AL25" s="157">
        <f t="shared" si="63"/>
        <v>0</v>
      </c>
      <c r="AM25" s="163" t="str">
        <f>IFERROR(IF($E$3="Original",IF($AJ25=0,"-",(INDEX('APP 2885'!$G:$G,MATCH($D$2+$AB25-1,'APP 2885'!$A:$A,0))*$U25)/($AJ25+$AF25)),IF($AJ25=0,"-",(INDEX('APP 2885'!$G:$G,MATCH($D$2+$AD25-1,'APP 2885'!$A:$A,0))*$U25)/($AJ25+$AF25))),"N/A")</f>
        <v>-</v>
      </c>
      <c r="AN25" s="64">
        <f t="shared" si="64"/>
        <v>0</v>
      </c>
      <c r="AO25" s="64">
        <f t="shared" si="65"/>
        <v>0</v>
      </c>
      <c r="AP25" s="163" t="str">
        <f>IFERROR(IF($E$3="Original",IF($AA25=0,"-",(INDEX('APP 2885'!$E:$E,MATCH($D$2+$AB25-1,'APP 2885'!$A:$A,0))*$U25)/(AA25+AF25)),IF($AA25=0,"-",(INDEX('APP 2885'!$E:$E,MATCH($D$2+$AD25-1,'APP 2885'!$A:$A,0))*$U25)/(AA25+AF25))),"N/A")</f>
        <v>-</v>
      </c>
      <c r="AR25" s="203">
        <f>(INDEX('APP 2885'!$G:$G,MATCH($D$2+$AD25-1,'APP 2885'!$A:$A,0))*$N25)/($AI25+($E$57*N25/SUM($U$5:$U$42)))</f>
        <v>3.3032629308656394</v>
      </c>
    </row>
    <row r="26" spans="2:44" ht="13.5" thickBot="1">
      <c r="B26" s="142" t="str">
        <f t="shared" si="49"/>
        <v>Griddle (School)_&gt;=38% Cooking Efficiency,&lt;= 2650 Btu/hr-sq ft Idle Rate</v>
      </c>
      <c r="C26" s="142" t="str">
        <f t="shared" si="50"/>
        <v>Griddle (School)_&gt;=38% Cooking Efficiency,&lt;= 2650 Btu/hr-sq ft Idle Rate</v>
      </c>
      <c r="D26" s="135" t="s">
        <v>851</v>
      </c>
      <c r="E26" s="135" t="s">
        <v>90</v>
      </c>
      <c r="F26" s="135" t="s">
        <v>9</v>
      </c>
      <c r="G26" s="136" t="s">
        <v>52</v>
      </c>
      <c r="H26" s="136" t="str">
        <f t="shared" si="51"/>
        <v>&gt;=38% Cooking Efficiency,&lt;= 2650 Btu/hr-sq ft Idle Rate</v>
      </c>
      <c r="I26" s="47">
        <f>COUNTIF('All TRC 2022 Measure Data'!$B:$B,D26)</f>
        <v>0</v>
      </c>
      <c r="J26" s="164">
        <v>59</v>
      </c>
      <c r="K26" s="48" t="s">
        <v>53</v>
      </c>
      <c r="L26" s="164">
        <f>IFERROR(INDEX('Com Measure Mapping'!$T:$T,MATCH($C26,'Com Measure Mapping'!$B:$B,0)),"N/A")</f>
        <v>172.06968037523848</v>
      </c>
      <c r="M26" s="66" t="str">
        <f>IFERROR(INDEX('Com Measure Mapping'!$U:$U,MATCH($C26,'Com Measure Mapping'!$B:$B,0)),"N/A")</f>
        <v>1 unit</v>
      </c>
      <c r="N26" s="183">
        <f t="shared" si="47"/>
        <v>59</v>
      </c>
      <c r="O26" s="66">
        <f>SUMIF('All TRC 2022 Measure Data'!$B:$B,D26,'All TRC 2022 Measure Data'!$W:$W)</f>
        <v>0</v>
      </c>
      <c r="P26" s="165">
        <f>IFERROR(INDEX('Com Measure Mapping'!$Y:$Y,MATCH($C26,'Com Measure Mapping'!$B:$B,0)),"N/A")</f>
        <v>7.5137336679296819E-3</v>
      </c>
      <c r="Q26" s="165">
        <f>IFERROR(INDEX('Com Measure Mapping'!$Z:$Z,MATCH($C26,'Com Measure Mapping'!$B:$B,0)),"N/A")</f>
        <v>1.0639890037985126E-2</v>
      </c>
      <c r="R26" s="167">
        <f t="shared" si="52"/>
        <v>0.41605898055697504</v>
      </c>
      <c r="S26" s="166">
        <f t="shared" si="53"/>
        <v>0</v>
      </c>
      <c r="T26" s="166">
        <f t="shared" si="54"/>
        <v>0</v>
      </c>
      <c r="U26" s="66">
        <f t="shared" si="55"/>
        <v>0</v>
      </c>
      <c r="V26" s="66"/>
      <c r="W26" s="143">
        <f>IFERROR(INDEX('Com Measure Mapping'!$V:$V,MATCH($C26,'Com Measure Mapping'!$B:$B,0)),"N/A")</f>
        <v>404.88</v>
      </c>
      <c r="X26" s="63">
        <v>1048</v>
      </c>
      <c r="Y26" s="63">
        <f t="shared" si="56"/>
        <v>0</v>
      </c>
      <c r="Z26" s="63">
        <f t="shared" si="3"/>
        <v>23.452504423822599</v>
      </c>
      <c r="AA26" s="63">
        <f t="shared" si="57"/>
        <v>0</v>
      </c>
      <c r="AB26" s="47">
        <v>12</v>
      </c>
      <c r="AC26" s="47">
        <f>IFERROR(INDEX('Com Measure Mapping'!$W:$W,MATCH($C26,'Com Measure Mapping'!$B:$B,0)),"N/A")</f>
        <v>12</v>
      </c>
      <c r="AD26" s="190">
        <f t="shared" si="58"/>
        <v>12</v>
      </c>
      <c r="AE26" s="146">
        <f t="shared" si="59"/>
        <v>0</v>
      </c>
      <c r="AF26" s="144">
        <f t="shared" si="60"/>
        <v>0</v>
      </c>
      <c r="AG26" s="49">
        <v>600</v>
      </c>
      <c r="AH26" s="49">
        <f>IFERROR(INDEX('Com Measure Mapping'!$X:$X,MATCH($C26,'Com Measure Mapping'!$B:$B,0)),"N/A")</f>
        <v>404.87810000000002</v>
      </c>
      <c r="AI26" s="49">
        <v>600</v>
      </c>
      <c r="AJ26" s="144">
        <f t="shared" si="61"/>
        <v>0</v>
      </c>
      <c r="AK26" s="154">
        <f t="shared" si="62"/>
        <v>0</v>
      </c>
      <c r="AL26" s="155">
        <f t="shared" si="63"/>
        <v>0</v>
      </c>
      <c r="AM26" s="70" t="str">
        <f>IFERROR(IF($E$3="Original",IF($AJ26=0,"-",(INDEX('APP 2885'!$G:$G,MATCH($D$2+$AB26-1,'APP 2885'!$A:$A,0))*$U26)/($AJ26+$AF26)),IF($AJ26=0,"-",(INDEX('APP 2885'!$G:$G,MATCH($D$2+$AD26-1,'APP 2885'!$A:$A,0))*$U26)/($AJ26+$AF26))),"N/A")</f>
        <v>-</v>
      </c>
      <c r="AN26" s="63">
        <f t="shared" si="64"/>
        <v>0</v>
      </c>
      <c r="AO26" s="63">
        <f t="shared" si="65"/>
        <v>0</v>
      </c>
      <c r="AP26" s="70" t="str">
        <f>IFERROR(IF($E$3="Original",IF($AA26=0,"-",(INDEX('APP 2885'!$E:$E,MATCH($D$2+$AB26-1,'APP 2885'!$A:$A,0))*$U26)/(AA26+AF26)),IF($AA26=0,"-",(INDEX('APP 2885'!$E:$E,MATCH($D$2+$AD26-1,'APP 2885'!$A:$A,0))*$U26)/(AA26+AF26))),"N/A")</f>
        <v>-</v>
      </c>
      <c r="AR26" s="204">
        <f>(INDEX('APP 2885'!$G:$G,MATCH($D$2+$AD26-1,'APP 2885'!$A:$A,0))*$N26)/($AI26+($E$57*N26/SUM($U$5:$U$42)))</f>
        <v>1.3281110577869779</v>
      </c>
    </row>
    <row r="27" spans="2:44" ht="13.5" thickBot="1">
      <c r="B27" s="142" t="str">
        <f t="shared" si="0"/>
        <v>HVAC Unit Heater - Condensing_Minimum 92% AFUE</v>
      </c>
      <c r="C27" s="142" t="str">
        <f t="shared" si="1"/>
        <v>HVAC Unit Heater - Condensing_Minimum 92% AFUE</v>
      </c>
      <c r="D27" s="137" t="s">
        <v>117</v>
      </c>
      <c r="E27" s="137" t="s">
        <v>91</v>
      </c>
      <c r="F27" s="137" t="s">
        <v>99</v>
      </c>
      <c r="G27" s="138" t="s">
        <v>737</v>
      </c>
      <c r="H27" s="138" t="str">
        <f t="shared" si="17"/>
        <v>Minimum 92% AFUE</v>
      </c>
      <c r="I27" s="52">
        <f>COUNTIF('All TRC 2022 Measure Data'!$B:$B,D27)</f>
        <v>3</v>
      </c>
      <c r="J27" s="162">
        <v>1.1000000000000001</v>
      </c>
      <c r="K27" s="53" t="s">
        <v>55</v>
      </c>
      <c r="L27" s="180">
        <f>IFERROR(INDEX('Com Measure Mapping'!$T:$T,MATCH($C27,'Com Measure Mapping'!$B:$B,0)),"N/A")</f>
        <v>5.3944355000463462E-2</v>
      </c>
      <c r="M27" s="181" t="str">
        <f>IFERROR(INDEX('Com Measure Mapping'!$U:$U,MATCH($C27,'Com Measure Mapping'!$B:$B,0)),"N/A")</f>
        <v>kBtu/Hr</v>
      </c>
      <c r="N27" s="182">
        <f t="shared" si="47"/>
        <v>1.1000000000000001</v>
      </c>
      <c r="O27" s="67">
        <f>SUMIF('All TRC 2022 Measure Data'!$B:$B,D27,'All TRC 2022 Measure Data'!$W:$W)</f>
        <v>394</v>
      </c>
      <c r="P27" s="184">
        <f>IFERROR(INDEX('Com Measure Mapping'!$Y:$Y,MATCH($C27,'Com Measure Mapping'!$B:$B,0)),"N/A")</f>
        <v>35.348204047092466</v>
      </c>
      <c r="Q27" s="184">
        <f>IFERROR(INDEX('Com Measure Mapping'!$Z:$Z,MATCH($C27,'Com Measure Mapping'!$B:$B,0)),"N/A")</f>
        <v>64.240929300196882</v>
      </c>
      <c r="R27" s="185">
        <f t="shared" si="2"/>
        <v>0.81737463138472977</v>
      </c>
      <c r="S27" s="186">
        <f>ROUND((O27/(6/12))*0.55,0)</f>
        <v>433</v>
      </c>
      <c r="T27" s="186">
        <f t="shared" si="11"/>
        <v>702</v>
      </c>
      <c r="U27" s="168">
        <f t="shared" si="12"/>
        <v>476.3</v>
      </c>
      <c r="V27" s="168"/>
      <c r="W27" s="187">
        <f>IFERROR(INDEX('Com Measure Mapping'!$V:$V,MATCH($C27,'Com Measure Mapping'!$B:$B,0)),"N/A")</f>
        <v>1.111919795372543</v>
      </c>
      <c r="X27" s="64">
        <v>16.739519999999999</v>
      </c>
      <c r="Y27" s="64">
        <f t="shared" si="13"/>
        <v>7248.2121599999991</v>
      </c>
      <c r="Z27" s="64">
        <f t="shared" si="3"/>
        <v>0.43725008247804853</v>
      </c>
      <c r="AA27" s="64">
        <f t="shared" si="4"/>
        <v>7058.8828742870046</v>
      </c>
      <c r="AB27" s="52">
        <v>18</v>
      </c>
      <c r="AC27" s="189">
        <f>IFERROR(INDEX('Com Measure Mapping'!$W:$W,MATCH($C27,'Com Measure Mapping'!$B:$B,0)),"N/A")</f>
        <v>12</v>
      </c>
      <c r="AD27" s="188">
        <f t="shared" si="14"/>
        <v>12</v>
      </c>
      <c r="AE27" s="147">
        <f t="shared" si="5"/>
        <v>4207.3174602887775</v>
      </c>
      <c r="AF27" s="145">
        <f t="shared" si="15"/>
        <v>1506.2692865389206</v>
      </c>
      <c r="AG27" s="54">
        <v>5</v>
      </c>
      <c r="AH27" s="191">
        <f>IFERROR(INDEX('Com Measure Mapping'!$X:$X,MATCH($C27,'Com Measure Mapping'!$B:$B,0)),"N/A")</f>
        <v>340.21199250000006</v>
      </c>
      <c r="AI27" s="54">
        <v>5</v>
      </c>
      <c r="AJ27" s="145">
        <f t="shared" si="16"/>
        <v>2165</v>
      </c>
      <c r="AK27" s="156">
        <f t="shared" si="48"/>
        <v>0.51457966279811007</v>
      </c>
      <c r="AL27" s="157">
        <f t="shared" si="7"/>
        <v>0.87259146028094969</v>
      </c>
      <c r="AM27" s="163">
        <f>IFERROR(IF($E$3="Original",IF($AJ27=0,"-",(INDEX('APP 2885'!$G:$G,MATCH($D$2+$AB27-1,'APP 2885'!$A:$A,0))*$U27)/($AJ27+$AF27)),IF($AJ27=0,"-",(INDEX('APP 2885'!$G:$G,MATCH($D$2+$AD27-1,'APP 2885'!$A:$A,0))*$U27)/($AJ27+$AF27))),"N/A")</f>
        <v>2.2971626528702389</v>
      </c>
      <c r="AN27" s="64">
        <f t="shared" si="8"/>
        <v>1.6777633114004438</v>
      </c>
      <c r="AO27" s="64">
        <f t="shared" si="9"/>
        <v>2.0357751088832834</v>
      </c>
      <c r="AP27" s="163">
        <f>IFERROR(IF($E$3="Original",IF($AA27=0,"-",(INDEX('APP 2885'!$E:$E,MATCH($D$2+$AB27-1,'APP 2885'!$A:$A,0))*$U27)/(AA27+AF27)),IF($AA27=0,"-",(INDEX('APP 2885'!$E:$E,MATCH($D$2+$AD27-1,'APP 2885'!$A:$A,0))*$U27)/(AA27+AF27))),"N/A")</f>
        <v>0.89511785507694486</v>
      </c>
      <c r="AR27" s="203"/>
    </row>
    <row r="28" spans="2:44" ht="13.5" thickBot="1">
      <c r="B28" s="142" t="str">
        <f t="shared" si="0"/>
        <v>Insulation - Attic - Min R-30_Minimum R-30</v>
      </c>
      <c r="C28" s="142" t="str">
        <f t="shared" si="1"/>
        <v>Insulation - Attic - Min R-30_Minimum R-30</v>
      </c>
      <c r="D28" s="135" t="s">
        <v>118</v>
      </c>
      <c r="E28" s="135" t="s">
        <v>746</v>
      </c>
      <c r="F28" s="135" t="s">
        <v>27</v>
      </c>
      <c r="G28" s="136" t="s">
        <v>747</v>
      </c>
      <c r="H28" s="136" t="str">
        <f t="shared" si="17"/>
        <v>Minimum R-30</v>
      </c>
      <c r="I28" s="47">
        <f>COUNTIF('All TRC 2022 Measure Data'!$B:$B,D28)</f>
        <v>4</v>
      </c>
      <c r="J28" s="164">
        <v>0.31</v>
      </c>
      <c r="K28" s="48" t="s">
        <v>71</v>
      </c>
      <c r="L28" s="164">
        <f>IFERROR(INDEX('Com Measure Mapping'!$T:$T,MATCH($C28,'Com Measure Mapping'!$B:$B,0)),"N/A")</f>
        <v>8.778148802192183E-2</v>
      </c>
      <c r="M28" s="66" t="str">
        <f>IFERROR(INDEX('Com Measure Mapping'!$U:$U,MATCH($C28,'Com Measure Mapping'!$B:$B,0)),"N/A")</f>
        <v>sqft roof</v>
      </c>
      <c r="N28" s="183">
        <f t="shared" si="47"/>
        <v>0.31</v>
      </c>
      <c r="O28" s="66">
        <f>SUMIF('All TRC 2022 Measure Data'!$B:$B,D28,'All TRC 2022 Measure Data'!$W:$W)</f>
        <v>97960</v>
      </c>
      <c r="P28" s="165">
        <f>IFERROR(INDEX('Com Measure Mapping'!$Y:$Y,MATCH($C28,'Com Measure Mapping'!$B:$B,0)),"N/A")</f>
        <v>110974.79465998401</v>
      </c>
      <c r="Q28" s="165">
        <f>IFERROR(INDEX('Com Measure Mapping'!$Z:$Z,MATCH($C28,'Com Measure Mapping'!$B:$B,0)),"N/A")</f>
        <v>169174.90919277561</v>
      </c>
      <c r="R28" s="167">
        <f t="shared" si="2"/>
        <v>0.52444444444444438</v>
      </c>
      <c r="S28" s="166">
        <f>ROUND((O28/(6/12))*0.55,0)</f>
        <v>107756</v>
      </c>
      <c r="T28" s="166">
        <f t="shared" si="11"/>
        <v>143256</v>
      </c>
      <c r="U28" s="66">
        <f t="shared" si="12"/>
        <v>33404.36</v>
      </c>
      <c r="V28" s="66"/>
      <c r="W28" s="143">
        <f>IFERROR(INDEX('Com Measure Mapping'!$V:$V,MATCH($C28,'Com Measure Mapping'!$B:$B,0)),"N/A")</f>
        <v>0.87631578947368427</v>
      </c>
      <c r="X28" s="63">
        <v>0.87631578947368427</v>
      </c>
      <c r="Y28" s="63">
        <f t="shared" si="13"/>
        <v>94428.284210526326</v>
      </c>
      <c r="Z28" s="63">
        <f t="shared" si="3"/>
        <v>0.2457869032193602</v>
      </c>
      <c r="AA28" s="63">
        <f t="shared" si="4"/>
        <v>67943.270667220946</v>
      </c>
      <c r="AB28" s="47">
        <v>30</v>
      </c>
      <c r="AC28" s="47">
        <f>IFERROR(INDEX('Com Measure Mapping'!$W:$W,MATCH($C28,'Com Measure Mapping'!$B:$B,0)),"N/A")</f>
        <v>45</v>
      </c>
      <c r="AD28" s="190">
        <f t="shared" si="14"/>
        <v>45</v>
      </c>
      <c r="AE28" s="146">
        <f t="shared" si="5"/>
        <v>588555.85651789722</v>
      </c>
      <c r="AF28" s="144">
        <f t="shared" si="15"/>
        <v>105639.22213833562</v>
      </c>
      <c r="AG28" s="49">
        <v>2</v>
      </c>
      <c r="AH28" s="49">
        <f>IFERROR(INDEX('Com Measure Mapping'!$X:$X,MATCH($C28,'Com Measure Mapping'!$B:$B,0)),"N/A")</f>
        <v>0.71155339397509443</v>
      </c>
      <c r="AI28" s="49">
        <v>2</v>
      </c>
      <c r="AJ28" s="144">
        <f t="shared" si="16"/>
        <v>215512</v>
      </c>
      <c r="AK28" s="154">
        <f t="shared" si="48"/>
        <v>0.36617085296720103</v>
      </c>
      <c r="AL28" s="155">
        <f t="shared" si="7"/>
        <v>0.54565971705451854</v>
      </c>
      <c r="AM28" s="70">
        <f>IFERROR(IF($E$3="Original",IF($AJ28=0,"-",(INDEX('APP 2885'!$G:$G,MATCH($D$2+$AB28-1,'APP 2885'!$A:$A,0))*$U28)/($AJ28+$AF28)),IF($AJ28=0,"-",(INDEX('APP 2885'!$G:$G,MATCH($D$2+$AD28-1,'APP 2885'!$A:$A,0))*$U28)/($AJ28+$AF28))),"N/A")</f>
        <v>10.365164418387257</v>
      </c>
      <c r="AN28" s="63">
        <f t="shared" si="8"/>
        <v>0.11544065005010255</v>
      </c>
      <c r="AO28" s="63">
        <f t="shared" si="9"/>
        <v>0.29492951413742013</v>
      </c>
      <c r="AP28" s="70">
        <f>IFERROR(IF($E$3="Original",IF($AA28=0,"-",(INDEX('APP 2885'!$E:$E,MATCH($D$2+$AB28-1,'APP 2885'!$A:$A,0))*$U28)/(AA28+AF28)),IF($AA28=0,"-",(INDEX('APP 2885'!$E:$E,MATCH($D$2+$AD28-1,'APP 2885'!$A:$A,0))*$U28)/(AA28+AF28))),"N/A")</f>
        <v>17.433603662902971</v>
      </c>
      <c r="AR28" s="204"/>
    </row>
    <row r="29" spans="2:44" ht="13.5" thickBot="1">
      <c r="B29" s="142" t="str">
        <f t="shared" si="0"/>
        <v>Insulation - Attic - Min R-45_Minimum R-45</v>
      </c>
      <c r="C29" s="142" t="str">
        <f t="shared" si="1"/>
        <v>Insulation - Attic - Min R-45_Minimum R-45</v>
      </c>
      <c r="D29" s="137" t="s">
        <v>119</v>
      </c>
      <c r="E29" s="137" t="s">
        <v>753</v>
      </c>
      <c r="F29" s="137" t="s">
        <v>27</v>
      </c>
      <c r="G29" s="138" t="s">
        <v>754</v>
      </c>
      <c r="H29" s="138" t="str">
        <f t="shared" si="17"/>
        <v>Minimum R-45</v>
      </c>
      <c r="I29" s="52">
        <f>COUNTIF('All TRC 2022 Measure Data'!$B:$B,D29)</f>
        <v>7</v>
      </c>
      <c r="J29" s="162">
        <v>0.32</v>
      </c>
      <c r="K29" s="53" t="s">
        <v>71</v>
      </c>
      <c r="L29" s="180">
        <f>IFERROR(INDEX('Com Measure Mapping'!$T:$T,MATCH($C29,'Com Measure Mapping'!$B:$B,0)),"N/A")</f>
        <v>0.13167223203288272</v>
      </c>
      <c r="M29" s="181" t="str">
        <f>IFERROR(INDEX('Com Measure Mapping'!$U:$U,MATCH($C29,'Com Measure Mapping'!$B:$B,0)),"N/A")</f>
        <v>sqft roof</v>
      </c>
      <c r="N29" s="182">
        <f t="shared" si="47"/>
        <v>0.32</v>
      </c>
      <c r="O29" s="67">
        <f>SUMIF('All TRC 2022 Measure Data'!$B:$B,D29,'All TRC 2022 Measure Data'!$W:$W)</f>
        <v>75311</v>
      </c>
      <c r="P29" s="184">
        <f>IFERROR(INDEX('Com Measure Mapping'!$Y:$Y,MATCH($C29,'Com Measure Mapping'!$B:$B,0)),"N/A")</f>
        <v>110974.79465998401</v>
      </c>
      <c r="Q29" s="184">
        <f>IFERROR(INDEX('Com Measure Mapping'!$Z:$Z,MATCH($C29,'Com Measure Mapping'!$B:$B,0)),"N/A")</f>
        <v>169174.90919277561</v>
      </c>
      <c r="R29" s="185">
        <f t="shared" si="2"/>
        <v>0.52444444444444438</v>
      </c>
      <c r="S29" s="186">
        <f>ROUND((O29/(6/12))*0.55,0)</f>
        <v>82842</v>
      </c>
      <c r="T29" s="186">
        <f t="shared" si="11"/>
        <v>110134</v>
      </c>
      <c r="U29" s="168">
        <f t="shared" si="12"/>
        <v>26509.439999999999</v>
      </c>
      <c r="V29" s="168"/>
      <c r="W29" s="187">
        <f>IFERROR(INDEX('Com Measure Mapping'!$V:$V,MATCH($C29,'Com Measure Mapping'!$B:$B,0)),"N/A")</f>
        <v>1.3144736842105262</v>
      </c>
      <c r="X29" s="64">
        <v>1.3144736842105262</v>
      </c>
      <c r="Y29" s="64">
        <f t="shared" si="13"/>
        <v>108893.62894736842</v>
      </c>
      <c r="Z29" s="64">
        <f t="shared" si="3"/>
        <v>0.25371551300062983</v>
      </c>
      <c r="AA29" s="64">
        <f t="shared" si="4"/>
        <v>87875.328419370227</v>
      </c>
      <c r="AB29" s="52">
        <v>30</v>
      </c>
      <c r="AC29" s="189">
        <f>IFERROR(INDEX('Com Measure Mapping'!$W:$W,MATCH($C29,'Com Measure Mapping'!$B:$B,0)),"N/A")</f>
        <v>45</v>
      </c>
      <c r="AD29" s="188">
        <f t="shared" si="14"/>
        <v>45</v>
      </c>
      <c r="AE29" s="147">
        <f t="shared" si="5"/>
        <v>467073.34506662609</v>
      </c>
      <c r="AF29" s="145">
        <f t="shared" si="15"/>
        <v>83834.464151472435</v>
      </c>
      <c r="AG29" s="54">
        <v>2.5</v>
      </c>
      <c r="AH29" s="191">
        <f>IFERROR(INDEX('Com Measure Mapping'!$X:$X,MATCH($C29,'Com Measure Mapping'!$B:$B,0)),"N/A")</f>
        <v>1.0673300909626415</v>
      </c>
      <c r="AI29" s="54">
        <v>2.5</v>
      </c>
      <c r="AJ29" s="145">
        <f t="shared" si="16"/>
        <v>207105</v>
      </c>
      <c r="AK29" s="156">
        <f t="shared" si="48"/>
        <v>0.44341001726497009</v>
      </c>
      <c r="AL29" s="157">
        <f t="shared" si="7"/>
        <v>0.62289888135228766</v>
      </c>
      <c r="AM29" s="163">
        <f>IFERROR(IF($E$3="Original",IF($AJ29=0,"-",(INDEX('APP 2885'!$G:$G,MATCH($D$2+$AB29-1,'APP 2885'!$A:$A,0))*$U29)/($AJ29+$AF29)),IF($AJ29=0,"-",(INDEX('APP 2885'!$G:$G,MATCH($D$2+$AD29-1,'APP 2885'!$A:$A,0))*$U29)/($AJ29+$AF29))),"N/A")</f>
        <v>9.0798889724799849</v>
      </c>
      <c r="AN29" s="64">
        <f t="shared" si="8"/>
        <v>0.18814031960405528</v>
      </c>
      <c r="AO29" s="64">
        <f t="shared" si="9"/>
        <v>0.36762918369137287</v>
      </c>
      <c r="AP29" s="163">
        <f>IFERROR(IF($E$3="Original",IF($AA29=0,"-",(INDEX('APP 2885'!$E:$E,MATCH($D$2+$AB29-1,'APP 2885'!$A:$A,0))*$U29)/(AA29+AF29)),IF($AA29=0,"-",(INDEX('APP 2885'!$E:$E,MATCH($D$2+$AD29-1,'APP 2885'!$A:$A,0))*$U29)/(AA29+AF29))),"N/A")</f>
        <v>13.986061188985474</v>
      </c>
      <c r="AR29" s="203"/>
    </row>
    <row r="30" spans="2:44" ht="13.5" thickBot="1">
      <c r="B30" s="142" t="str">
        <f t="shared" si="0"/>
        <v>Insulation - Floor_Equal to or greater than R-30 Post and equal to or less than R-11 Pre</v>
      </c>
      <c r="C30" s="142" t="str">
        <f t="shared" si="1"/>
        <v>Insulation - Floor_Equal to or greater than R-30 Post and equal to or less than R-11 Pre</v>
      </c>
      <c r="D30" s="135" t="s">
        <v>294</v>
      </c>
      <c r="E30" s="135" t="s">
        <v>111</v>
      </c>
      <c r="F30" s="135" t="s">
        <v>100</v>
      </c>
      <c r="G30" s="136" t="s">
        <v>101</v>
      </c>
      <c r="H30" s="136" t="str">
        <f t="shared" si="17"/>
        <v>Equal to or greater than R-30 Post and equal to or less than R-11 Pre</v>
      </c>
      <c r="I30" s="47">
        <f>COUNTIF('All TRC 2022 Measure Data'!$B:$B,D30)</f>
        <v>1</v>
      </c>
      <c r="J30" s="164">
        <v>5.6000000000000001E-2</v>
      </c>
      <c r="K30" s="48" t="s">
        <v>78</v>
      </c>
      <c r="L30" s="164" t="str">
        <f>IFERROR(INDEX('Com Measure Mapping'!$T:$T,MATCH($C30,'Com Measure Mapping'!$B:$B,0)),"N/A")</f>
        <v>N/A</v>
      </c>
      <c r="M30" s="66" t="str">
        <f>IFERROR(INDEX('Com Measure Mapping'!$U:$U,MATCH($C30,'Com Measure Mapping'!$B:$B,0)),"N/A")</f>
        <v>N/A</v>
      </c>
      <c r="N30" s="183">
        <f t="shared" si="10"/>
        <v>5.6000000000000001E-2</v>
      </c>
      <c r="O30" s="66">
        <f>SUMIF('All TRC 2022 Measure Data'!$B:$B,D30,'All TRC 2022 Measure Data'!$W:$W)</f>
        <v>3600</v>
      </c>
      <c r="P30" s="165" t="str">
        <f>IFERROR(INDEX('Com Measure Mapping'!$Y:$Y,MATCH($C30,'Com Measure Mapping'!$B:$B,0)),"N/A")</f>
        <v>N/A</v>
      </c>
      <c r="Q30" s="165" t="str">
        <f>IFERROR(INDEX('Com Measure Mapping'!$Z:$Z,MATCH($C30,'Com Measure Mapping'!$B:$B,0)),"N/A")</f>
        <v>N/A</v>
      </c>
      <c r="R30" s="167" t="str">
        <f t="shared" si="2"/>
        <v>N/A</v>
      </c>
      <c r="S30" s="166">
        <f>ROUND((O30/(6/12))*0.55,0)</f>
        <v>3960</v>
      </c>
      <c r="T30" s="166">
        <f t="shared" si="11"/>
        <v>3960</v>
      </c>
      <c r="U30" s="66">
        <f t="shared" si="12"/>
        <v>221.76</v>
      </c>
      <c r="V30" s="66"/>
      <c r="W30" s="143" t="str">
        <f>IFERROR(INDEX('Com Measure Mapping'!$V:$V,MATCH($C30,'Com Measure Mapping'!$B:$B,0)),"N/A")</f>
        <v>N/A</v>
      </c>
      <c r="X30" s="63">
        <v>1.08</v>
      </c>
      <c r="Y30" s="63">
        <f t="shared" si="13"/>
        <v>4276.8</v>
      </c>
      <c r="Z30" s="63">
        <f t="shared" si="3"/>
        <v>3.8475026494738586E-2</v>
      </c>
      <c r="AA30" s="63">
        <f t="shared" si="4"/>
        <v>4124.4388950808352</v>
      </c>
      <c r="AB30" s="47">
        <v>30</v>
      </c>
      <c r="AC30" s="47" t="str">
        <f>IFERROR(INDEX('Com Measure Mapping'!$W:$W,MATCH($C30,'Com Measure Mapping'!$B:$B,0)),"N/A")</f>
        <v>N/A</v>
      </c>
      <c r="AD30" s="190">
        <f t="shared" si="14"/>
        <v>30</v>
      </c>
      <c r="AE30" s="146">
        <f t="shared" si="5"/>
        <v>3385.8023315369942</v>
      </c>
      <c r="AF30" s="144">
        <f t="shared" si="15"/>
        <v>701.30228213913722</v>
      </c>
      <c r="AG30" s="49">
        <v>1.25</v>
      </c>
      <c r="AH30" s="49" t="str">
        <f>IFERROR(INDEX('Com Measure Mapping'!$X:$X,MATCH($C30,'Com Measure Mapping'!$B:$B,0)),"N/A")</f>
        <v>N/A</v>
      </c>
      <c r="AI30" s="49">
        <v>1.25</v>
      </c>
      <c r="AJ30" s="144">
        <f t="shared" si="16"/>
        <v>4950</v>
      </c>
      <c r="AK30" s="154">
        <f t="shared" si="48"/>
        <v>1.4619872973366801</v>
      </c>
      <c r="AL30" s="155">
        <f t="shared" si="7"/>
        <v>1.6691176060398401</v>
      </c>
      <c r="AM30" s="70">
        <f>IFERROR(IF($E$3="Original",IF($AJ30=0,"-",(INDEX('APP 2885'!$G:$G,MATCH($D$2+$AB30-1,'APP 2885'!$A:$A,0))*$U30)/($AJ30+$AF30)),IF($AJ30=0,"-",(INDEX('APP 2885'!$G:$G,MATCH($D$2+$AD30-1,'APP 2885'!$A:$A,0))*$U30)/($AJ30+$AF30))),"N/A")</f>
        <v>2.3075998899556236</v>
      </c>
      <c r="AN30" s="63">
        <f t="shared" si="8"/>
        <v>1.2181570248988915</v>
      </c>
      <c r="AO30" s="63">
        <f t="shared" si="9"/>
        <v>1.4252873336020517</v>
      </c>
      <c r="AP30" s="70">
        <f>IFERROR(IF($E$3="Original",IF($AA30=0,"-",(INDEX('APP 2885'!$E:$E,MATCH($D$2+$AB30-1,'APP 2885'!$A:$A,0))*$U30)/(AA30+AF30)),IF($AA30=0,"-",(INDEX('APP 2885'!$E:$E,MATCH($D$2+$AD30-1,'APP 2885'!$A:$A,0))*$U30)/(AA30+AF30))),"N/A")</f>
        <v>2.4567011942181174</v>
      </c>
      <c r="AR30" s="204"/>
    </row>
    <row r="31" spans="2:44" ht="13.5" thickBot="1">
      <c r="B31" s="142" t="str">
        <f t="shared" si="0"/>
        <v>Insulation - Pipe - 1.5"_Retrofit for T&gt;140F&lt;=200F</v>
      </c>
      <c r="C31" s="142" t="str">
        <f t="shared" si="1"/>
        <v>Insulation - Pipe - 1.5"_Retrofit for T&gt;140F&lt;=200F</v>
      </c>
      <c r="D31" s="137" t="s">
        <v>120</v>
      </c>
      <c r="E31" s="137" t="s">
        <v>92</v>
      </c>
      <c r="F31" s="137" t="s">
        <v>102</v>
      </c>
      <c r="G31" s="138" t="s">
        <v>103</v>
      </c>
      <c r="H31" s="138" t="str">
        <f t="shared" si="17"/>
        <v>Retrofit for T&gt;140F&lt;=200F</v>
      </c>
      <c r="I31" s="52">
        <f>COUNTIF('All TRC 2022 Measure Data'!$B:$B,D31)</f>
        <v>0</v>
      </c>
      <c r="J31" s="162">
        <v>6</v>
      </c>
      <c r="K31" s="53" t="s">
        <v>109</v>
      </c>
      <c r="L31" s="180">
        <f>IFERROR(INDEX('Com Measure Mapping'!$T:$T,MATCH($C31,'Com Measure Mapping'!$B:$B,0)),"N/A")</f>
        <v>4.6017923491566473</v>
      </c>
      <c r="M31" s="181" t="str">
        <f>IFERROR(INDEX('Com Measure Mapping'!$U:$U,MATCH($C31,'Com Measure Mapping'!$B:$B,0)),"N/A")</f>
        <v>boiler pipe</v>
      </c>
      <c r="N31" s="182">
        <f>L31</f>
        <v>4.6017923491566473</v>
      </c>
      <c r="O31" s="67">
        <f>SUMIF('All TRC 2022 Measure Data'!$B:$B,D31,'All TRC 2022 Measure Data'!$W:$W)</f>
        <v>0</v>
      </c>
      <c r="P31" s="184">
        <f>IFERROR(INDEX('Com Measure Mapping'!$Y:$Y,MATCH($C31,'Com Measure Mapping'!$B:$B,0)),"N/A")</f>
        <v>4728.6541099919759</v>
      </c>
      <c r="Q31" s="184">
        <f>IFERROR(INDEX('Com Measure Mapping'!$Z:$Z,MATCH($C31,'Com Measure Mapping'!$B:$B,0)),"N/A")</f>
        <v>4634.0810277921364</v>
      </c>
      <c r="R31" s="185">
        <f t="shared" si="2"/>
        <v>-0.02</v>
      </c>
      <c r="S31" s="186">
        <f>ROUND((P31*10%)*0.55,0)</f>
        <v>260</v>
      </c>
      <c r="T31" s="186">
        <f t="shared" si="11"/>
        <v>255</v>
      </c>
      <c r="U31" s="168">
        <f t="shared" si="12"/>
        <v>1196.46</v>
      </c>
      <c r="V31" s="168"/>
      <c r="W31" s="187">
        <f>IFERROR(INDEX('Com Measure Mapping'!$V:$V,MATCH($C31,'Com Measure Mapping'!$B:$B,0)),"N/A")</f>
        <v>10.78</v>
      </c>
      <c r="X31" s="64">
        <v>10.78</v>
      </c>
      <c r="Y31" s="64">
        <f t="shared" si="13"/>
        <v>2802.7999999999997</v>
      </c>
      <c r="Z31" s="64">
        <f t="shared" si="3"/>
        <v>2.5676040573520189</v>
      </c>
      <c r="AA31" s="64">
        <f t="shared" si="4"/>
        <v>2135.2229450884747</v>
      </c>
      <c r="AB31" s="52">
        <v>20</v>
      </c>
      <c r="AC31" s="189">
        <f>IFERROR(INDEX('Com Measure Mapping'!$W:$W,MATCH($C31,'Com Measure Mapping'!$B:$B,0)),"N/A")</f>
        <v>20</v>
      </c>
      <c r="AD31" s="188">
        <f t="shared" si="14"/>
        <v>20</v>
      </c>
      <c r="AE31" s="147">
        <f t="shared" si="5"/>
        <v>14834.971136710805</v>
      </c>
      <c r="AF31" s="145">
        <f t="shared" si="15"/>
        <v>3783.7307381321793</v>
      </c>
      <c r="AG31" s="54">
        <v>15</v>
      </c>
      <c r="AH31" s="191">
        <f>IFERROR(INDEX('Com Measure Mapping'!$X:$X,MATCH($C31,'Com Measure Mapping'!$B:$B,0)),"N/A")</f>
        <v>10.782299999999999</v>
      </c>
      <c r="AI31" s="54">
        <v>15</v>
      </c>
      <c r="AJ31" s="145">
        <f t="shared" si="16"/>
        <v>3900</v>
      </c>
      <c r="AK31" s="156">
        <f t="shared" si="48"/>
        <v>0.26289232139784968</v>
      </c>
      <c r="AL31" s="157">
        <f t="shared" si="7"/>
        <v>0.51794713095989264</v>
      </c>
      <c r="AM31" s="163">
        <f>IFERROR(IF($E$3="Original",IF($AJ31=0,"-",(INDEX('APP 2885'!$G:$G,MATCH($D$2+$AB31-1,'APP 2885'!$A:$A,0))*$U31)/($AJ31+$AF31)),IF($AJ31=0,"-",(INDEX('APP 2885'!$G:$G,MATCH($D$2+$AD31-1,'APP 2885'!$A:$A,0))*$U31)/($AJ31+$AF31))),"N/A")</f>
        <v>6.3553022240378487</v>
      </c>
      <c r="AN31" s="64">
        <f t="shared" si="8"/>
        <v>0.14393172224006728</v>
      </c>
      <c r="AO31" s="64">
        <f t="shared" si="9"/>
        <v>0.3989865318021103</v>
      </c>
      <c r="AP31" s="163">
        <f>IFERROR(IF($E$3="Original",IF($AA31=0,"-",(INDEX('APP 2885'!$E:$E,MATCH($D$2+$AB31-1,'APP 2885'!$A:$A,0))*$U31)/(AA31+AF31)),IF($AA31=0,"-",(INDEX('APP 2885'!$E:$E,MATCH($D$2+$AD31-1,'APP 2885'!$A:$A,0))*$U31)/(AA31+AF31))),"N/A")</f>
        <v>7.5001632908981009</v>
      </c>
      <c r="AR31" s="203"/>
    </row>
    <row r="32" spans="2:44" ht="13.5" thickBot="1">
      <c r="B32" s="142" t="str">
        <f t="shared" si="0"/>
        <v>Insulation - Pipe - 2.5"_Retrofit for T&gt;200F</v>
      </c>
      <c r="C32" s="142" t="str">
        <f t="shared" si="1"/>
        <v>Insulation - Pipe - 2.5"_Retrofit for T&gt;200F</v>
      </c>
      <c r="D32" s="135" t="s">
        <v>121</v>
      </c>
      <c r="E32" s="135" t="s">
        <v>93</v>
      </c>
      <c r="F32" s="135" t="s">
        <v>104</v>
      </c>
      <c r="G32" s="136" t="s">
        <v>105</v>
      </c>
      <c r="H32" s="136" t="str">
        <f t="shared" si="17"/>
        <v>Retrofit for T&gt;200F</v>
      </c>
      <c r="I32" s="47">
        <f>COUNTIF('All TRC 2022 Measure Data'!$B:$B,D32)</f>
        <v>0</v>
      </c>
      <c r="J32" s="164">
        <v>12</v>
      </c>
      <c r="K32" s="48" t="s">
        <v>109</v>
      </c>
      <c r="L32" s="164">
        <f>IFERROR(INDEX('Com Measure Mapping'!$T:$T,MATCH($C32,'Com Measure Mapping'!$B:$B,0)),"N/A")</f>
        <v>346.13835024552628</v>
      </c>
      <c r="M32" s="66" t="str">
        <f>IFERROR(INDEX('Com Measure Mapping'!$U:$U,MATCH($C32,'Com Measure Mapping'!$B:$B,0)),"N/A")</f>
        <v>employee</v>
      </c>
      <c r="N32" s="183">
        <f>J32</f>
        <v>12</v>
      </c>
      <c r="O32" s="66">
        <f>SUMIF('All TRC 2022 Measure Data'!$B:$B,D32,'All TRC 2022 Measure Data'!$W:$W)</f>
        <v>0</v>
      </c>
      <c r="P32" s="165">
        <f>IFERROR(INDEX('Com Measure Mapping'!$Y:$Y,MATCH($C32,'Com Measure Mapping'!$B:$B,0)),"N/A")</f>
        <v>15.691871462059005</v>
      </c>
      <c r="Q32" s="165">
        <f>IFERROR(INDEX('Com Measure Mapping'!$Z:$Z,MATCH($C32,'Com Measure Mapping'!$B:$B,0)),"N/A")</f>
        <v>15.599330849036978</v>
      </c>
      <c r="R32" s="167">
        <f t="shared" si="2"/>
        <v>-5.8973598685012896E-3</v>
      </c>
      <c r="S32" s="166">
        <f t="shared" ref="S32:S42" si="66">ROUND((O32/(6/12))*0.55,0)</f>
        <v>0</v>
      </c>
      <c r="T32" s="166">
        <f t="shared" si="11"/>
        <v>0</v>
      </c>
      <c r="U32" s="66">
        <f t="shared" si="12"/>
        <v>0</v>
      </c>
      <c r="V32" s="66"/>
      <c r="W32" s="143">
        <f>IFERROR(INDEX('Com Measure Mapping'!$V:$V,MATCH($C32,'Com Measure Mapping'!$B:$B,0)),"N/A")</f>
        <v>2951.244444444445</v>
      </c>
      <c r="X32" s="63">
        <v>18</v>
      </c>
      <c r="Y32" s="63">
        <f t="shared" si="13"/>
        <v>0</v>
      </c>
      <c r="Z32" s="63">
        <f t="shared" si="3"/>
        <v>6.695488703194286</v>
      </c>
      <c r="AA32" s="63">
        <f t="shared" si="4"/>
        <v>0</v>
      </c>
      <c r="AB32" s="47">
        <v>20</v>
      </c>
      <c r="AC32" s="47">
        <f>IFERROR(INDEX('Com Measure Mapping'!$W:$W,MATCH($C32,'Com Measure Mapping'!$B:$B,0)),"N/A")</f>
        <v>20</v>
      </c>
      <c r="AD32" s="190">
        <f t="shared" si="14"/>
        <v>20</v>
      </c>
      <c r="AE32" s="146">
        <f t="shared" si="5"/>
        <v>0</v>
      </c>
      <c r="AF32" s="144">
        <f t="shared" si="15"/>
        <v>0</v>
      </c>
      <c r="AG32" s="49">
        <v>25</v>
      </c>
      <c r="AH32" s="49">
        <f>IFERROR(INDEX('Com Measure Mapping'!$X:$X,MATCH($C32,'Com Measure Mapping'!$B:$B,0)),"N/A")</f>
        <v>1475.6218611111112</v>
      </c>
      <c r="AI32" s="49">
        <v>25</v>
      </c>
      <c r="AJ32" s="144">
        <f t="shared" si="16"/>
        <v>0</v>
      </c>
      <c r="AK32" s="154">
        <f t="shared" si="48"/>
        <v>0</v>
      </c>
      <c r="AL32" s="155">
        <f t="shared" si="7"/>
        <v>0</v>
      </c>
      <c r="AM32" s="70" t="str">
        <f>IFERROR(IF($E$3="Original",IF($AJ32=0,"-",(INDEX('APP 2885'!$G:$G,MATCH($D$2+$AB32-1,'APP 2885'!$A:$A,0))*$U32)/($AJ32+$AF32)),IF($AJ32=0,"-",(INDEX('APP 2885'!$G:$G,MATCH($D$2+$AD32-1,'APP 2885'!$A:$A,0))*$U32)/($AJ32+$AF32))),"N/A")</f>
        <v>-</v>
      </c>
      <c r="AN32" s="63">
        <f t="shared" si="8"/>
        <v>0</v>
      </c>
      <c r="AO32" s="63">
        <f t="shared" si="9"/>
        <v>0</v>
      </c>
      <c r="AP32" s="70" t="str">
        <f>IFERROR(IF($E$3="Original",IF($AA32=0,"-",(INDEX('APP 2885'!$E:$E,MATCH($D$2+$AB32-1,'APP 2885'!$A:$A,0))*$U32)/(AA32+AF32)),IF($AA32=0,"-",(INDEX('APP 2885'!$E:$E,MATCH($D$2+$AD32-1,'APP 2885'!$A:$A,0))*$U32)/(AA32+AF32))),"N/A")</f>
        <v>-</v>
      </c>
      <c r="AR32" s="204">
        <f>(INDEX('APP 2885'!$G:$G,MATCH($D$2+$AD32-1,'APP 2885'!$A:$A,0))*$N32)/($AI32+($E$57*N32/SUM($U$5:$U$42)))</f>
        <v>7.7803797436586626</v>
      </c>
    </row>
    <row r="33" spans="2:44" ht="13.5" thickBot="1">
      <c r="B33" s="142" t="str">
        <f t="shared" si="0"/>
        <v>Insulation - Roof - Min R-30_Minimum R-30</v>
      </c>
      <c r="C33" s="142" t="str">
        <f t="shared" si="1"/>
        <v>Insulation - Roof - Min R-30_Minimum R-30</v>
      </c>
      <c r="D33" s="137" t="s">
        <v>295</v>
      </c>
      <c r="E33" s="137" t="s">
        <v>766</v>
      </c>
      <c r="F33" s="137" t="s">
        <v>74</v>
      </c>
      <c r="G33" s="138" t="s">
        <v>747</v>
      </c>
      <c r="H33" s="138" t="str">
        <f t="shared" si="17"/>
        <v>Minimum R-30</v>
      </c>
      <c r="I33" s="52">
        <f>COUNTIF('All TRC 2022 Measure Data'!$B:$B,D33)</f>
        <v>2</v>
      </c>
      <c r="J33" s="162">
        <v>0.36</v>
      </c>
      <c r="K33" s="53" t="s">
        <v>71</v>
      </c>
      <c r="L33" s="180">
        <f>IFERROR(INDEX('Com Measure Mapping'!$T:$T,MATCH($C33,'Com Measure Mapping'!$B:$B,0)),"N/A")</f>
        <v>8.778148802192183E-2</v>
      </c>
      <c r="M33" s="181" t="str">
        <f>IFERROR(INDEX('Com Measure Mapping'!$U:$U,MATCH($C33,'Com Measure Mapping'!$B:$B,0)),"N/A")</f>
        <v>sqft roof</v>
      </c>
      <c r="N33" s="182">
        <f>J33</f>
        <v>0.36</v>
      </c>
      <c r="O33" s="67">
        <f>SUMIF('All TRC 2022 Measure Data'!$B:$B,D33,'All TRC 2022 Measure Data'!$W:$W)</f>
        <v>29690</v>
      </c>
      <c r="P33" s="184">
        <f>IFERROR(INDEX('Com Measure Mapping'!$Y:$Y,MATCH($C33,'Com Measure Mapping'!$B:$B,0)),"N/A")</f>
        <v>110974.79465998401</v>
      </c>
      <c r="Q33" s="184">
        <f>IFERROR(INDEX('Com Measure Mapping'!$Z:$Z,MATCH($C33,'Com Measure Mapping'!$B:$B,0)),"N/A")</f>
        <v>169174.90919277561</v>
      </c>
      <c r="R33" s="185">
        <f t="shared" si="2"/>
        <v>0.52444444444444438</v>
      </c>
      <c r="S33" s="186">
        <f t="shared" si="66"/>
        <v>32659</v>
      </c>
      <c r="T33" s="186">
        <f t="shared" si="11"/>
        <v>43418</v>
      </c>
      <c r="U33" s="168">
        <f t="shared" si="12"/>
        <v>11757.24</v>
      </c>
      <c r="V33" s="168"/>
      <c r="W33" s="187">
        <f>IFERROR(INDEX('Com Measure Mapping'!$V:$V,MATCH($C33,'Com Measure Mapping'!$B:$B,0)),"N/A")</f>
        <v>0.87631578947368427</v>
      </c>
      <c r="X33" s="64">
        <v>2.15</v>
      </c>
      <c r="Y33" s="64">
        <f t="shared" si="13"/>
        <v>70216.849999999991</v>
      </c>
      <c r="Z33" s="64">
        <f t="shared" si="3"/>
        <v>0.2854299521257086</v>
      </c>
      <c r="AA33" s="64">
        <f t="shared" si="4"/>
        <v>60894.993193526476</v>
      </c>
      <c r="AB33" s="52">
        <v>30</v>
      </c>
      <c r="AC33" s="189">
        <f>IFERROR(INDEX('Com Measure Mapping'!$W:$W,MATCH($C33,'Com Measure Mapping'!$B:$B,0)),"N/A")</f>
        <v>45</v>
      </c>
      <c r="AD33" s="188">
        <f t="shared" si="14"/>
        <v>45</v>
      </c>
      <c r="AE33" s="147">
        <f t="shared" si="5"/>
        <v>207152.37347718922</v>
      </c>
      <c r="AF33" s="145">
        <f t="shared" si="15"/>
        <v>37181.544208412466</v>
      </c>
      <c r="AG33" s="54">
        <v>2</v>
      </c>
      <c r="AH33" s="191">
        <f>IFERROR(INDEX('Com Measure Mapping'!$X:$X,MATCH($C33,'Com Measure Mapping'!$B:$B,0)),"N/A")</f>
        <v>0.71155339397509443</v>
      </c>
      <c r="AI33" s="54">
        <v>2</v>
      </c>
      <c r="AJ33" s="145">
        <f t="shared" si="16"/>
        <v>65318</v>
      </c>
      <c r="AK33" s="156">
        <f t="shared" si="48"/>
        <v>0.3153137900550898</v>
      </c>
      <c r="AL33" s="157">
        <f t="shared" si="7"/>
        <v>0.49480265414240743</v>
      </c>
      <c r="AM33" s="163">
        <f>IFERROR(IF($E$3="Original",IF($AJ33=0,"-",(INDEX('APP 2885'!$G:$G,MATCH($D$2+$AB33-1,'APP 2885'!$A:$A,0))*$U33)/($AJ33+$AF33)),IF($AJ33=0,"-",(INDEX('APP 2885'!$G:$G,MATCH($D$2+$AD33-1,'APP 2885'!$A:$A,0))*$U33)/($AJ33+$AF33))),"N/A")</f>
        <v>11.430522121114095</v>
      </c>
      <c r="AN33" s="64">
        <f t="shared" si="8"/>
        <v>0.29396232430922153</v>
      </c>
      <c r="AO33" s="64">
        <f t="shared" si="9"/>
        <v>0.4734511883965391</v>
      </c>
      <c r="AP33" s="163">
        <f>IFERROR(IF($E$3="Original",IF($AA33=0,"-",(INDEX('APP 2885'!$E:$E,MATCH($D$2+$AB33-1,'APP 2885'!$A:$A,0))*$U33)/(AA33+AF33)),IF($AA33=0,"-",(INDEX('APP 2885'!$E:$E,MATCH($D$2+$AD33-1,'APP 2885'!$A:$A,0))*$U33)/(AA33+AF33))),"N/A")</f>
        <v>10.860009192030802</v>
      </c>
      <c r="AR33" s="203"/>
    </row>
    <row r="34" spans="2:44" ht="13.5" thickBot="1">
      <c r="B34" s="142" t="str">
        <f t="shared" si="0"/>
        <v>Insulation - Wall - Min R-19_Minimum R-19</v>
      </c>
      <c r="C34" s="142" t="str">
        <f t="shared" si="1"/>
        <v>Insulation - Wall - Min R-19_Minimum R-19</v>
      </c>
      <c r="D34" s="135" t="s">
        <v>291</v>
      </c>
      <c r="E34" s="135" t="s">
        <v>768</v>
      </c>
      <c r="F34" s="135" t="s">
        <v>72</v>
      </c>
      <c r="G34" s="136" t="s">
        <v>769</v>
      </c>
      <c r="H34" s="136" t="str">
        <f t="shared" si="17"/>
        <v>Minimum R-19</v>
      </c>
      <c r="I34" s="47">
        <f>COUNTIF('All TRC 2022 Measure Data'!$B:$B,D34)</f>
        <v>3</v>
      </c>
      <c r="J34" s="164">
        <v>0.19</v>
      </c>
      <c r="K34" s="48" t="s">
        <v>78</v>
      </c>
      <c r="L34" s="164">
        <f>IFERROR(INDEX('Com Measure Mapping'!$T:$T,MATCH($C34,'Com Measure Mapping'!$B:$B,0)),"N/A")</f>
        <v>9.7157441361663641E-2</v>
      </c>
      <c r="M34" s="66" t="str">
        <f>IFERROR(INDEX('Com Measure Mapping'!$U:$U,MATCH($C34,'Com Measure Mapping'!$B:$B,0)),"N/A")</f>
        <v>sqft wall</v>
      </c>
      <c r="N34" s="183">
        <f>J34</f>
        <v>0.19</v>
      </c>
      <c r="O34" s="66">
        <f>SUMIF('All TRC 2022 Measure Data'!$B:$B,D34,'All TRC 2022 Measure Data'!$W:$W)</f>
        <v>29830</v>
      </c>
      <c r="P34" s="165">
        <f>IFERROR(INDEX('Com Measure Mapping'!$Y:$Y,MATCH($C34,'Com Measure Mapping'!$B:$B,0)),"N/A")</f>
        <v>109410.10554267553</v>
      </c>
      <c r="Q34" s="165">
        <f>IFERROR(INDEX('Com Measure Mapping'!$Z:$Z,MATCH($C34,'Com Measure Mapping'!$B:$B,0)),"N/A")</f>
        <v>166789.62756061202</v>
      </c>
      <c r="R34" s="167">
        <f t="shared" si="2"/>
        <v>0.52444444444444427</v>
      </c>
      <c r="S34" s="166">
        <f t="shared" si="66"/>
        <v>32813</v>
      </c>
      <c r="T34" s="166">
        <f t="shared" si="11"/>
        <v>43623</v>
      </c>
      <c r="U34" s="66">
        <f t="shared" si="12"/>
        <v>6234.47</v>
      </c>
      <c r="V34" s="66"/>
      <c r="W34" s="143">
        <f>IFERROR(INDEX('Com Measure Mapping'!$V:$V,MATCH($C34,'Com Measure Mapping'!$B:$B,0)),"N/A")</f>
        <v>1.7371428571428573</v>
      </c>
      <c r="X34" s="63">
        <v>1.7371428571428573</v>
      </c>
      <c r="Y34" s="63">
        <f t="shared" si="13"/>
        <v>57000.868571428575</v>
      </c>
      <c r="Z34" s="63">
        <f t="shared" si="3"/>
        <v>0.15064358584412396</v>
      </c>
      <c r="AA34" s="63">
        <f t="shared" si="4"/>
        <v>52057.800589125334</v>
      </c>
      <c r="AB34" s="47">
        <v>30</v>
      </c>
      <c r="AC34" s="47">
        <f>IFERROR(INDEX('Com Measure Mapping'!$W:$W,MATCH($C34,'Com Measure Mapping'!$B:$B,0)),"N/A")</f>
        <v>45</v>
      </c>
      <c r="AD34" s="190">
        <f t="shared" si="14"/>
        <v>45</v>
      </c>
      <c r="AE34" s="146">
        <f t="shared" si="5"/>
        <v>109845.95516229421</v>
      </c>
      <c r="AF34" s="144">
        <f t="shared" si="15"/>
        <v>19716.125716666604</v>
      </c>
      <c r="AG34" s="49">
        <v>2</v>
      </c>
      <c r="AH34" s="49">
        <f>IFERROR(INDEX('Com Measure Mapping'!$X:$X,MATCH($C34,'Com Measure Mapping'!$B:$B,0)),"N/A")</f>
        <v>0.87113712164319834</v>
      </c>
      <c r="AI34" s="49">
        <v>2</v>
      </c>
      <c r="AJ34" s="144">
        <f t="shared" si="16"/>
        <v>65626</v>
      </c>
      <c r="AK34" s="154">
        <f t="shared" si="48"/>
        <v>0.59743665484122277</v>
      </c>
      <c r="AL34" s="155">
        <f t="shared" si="7"/>
        <v>0.77692551892854034</v>
      </c>
      <c r="AM34" s="70">
        <f>IFERROR(IF($E$3="Original",IF($AJ34=0,"-",(INDEX('APP 2885'!$G:$G,MATCH($D$2+$AB34-1,'APP 2885'!$A:$A,0))*$U34)/($AJ34+$AF34)),IF($AJ34=0,"-",(INDEX('APP 2885'!$G:$G,MATCH($D$2+$AD34-1,'APP 2885'!$A:$A,0))*$U34)/($AJ34+$AF34))),"N/A")</f>
        <v>7.2797875033899686</v>
      </c>
      <c r="AN34" s="63">
        <f t="shared" si="8"/>
        <v>0.47391640877637636</v>
      </c>
      <c r="AO34" s="63">
        <f t="shared" si="9"/>
        <v>0.65340527286369399</v>
      </c>
      <c r="AP34" s="70">
        <f>IFERROR(IF($E$3="Original",IF($AA34=0,"-",(INDEX('APP 2885'!$E:$E,MATCH($D$2+$AB34-1,'APP 2885'!$A:$A,0))*$U34)/(AA34+AF34)),IF($AA34=0,"-",(INDEX('APP 2885'!$E:$E,MATCH($D$2+$AD34-1,'APP 2885'!$A:$A,0))*$U34)/(AA34+AF34))),"N/A")</f>
        <v>7.8690584106090018</v>
      </c>
      <c r="AR34" s="204"/>
    </row>
    <row r="35" spans="2:44" ht="13.5" thickBot="1">
      <c r="B35" s="142" t="str">
        <f t="shared" si="0"/>
        <v>Ozone Injection Laundry_Minimum 125 lb Total Washer/Extractor Capacity  and Pre Approved by CNG</v>
      </c>
      <c r="C35" s="142" t="str">
        <f t="shared" si="1"/>
        <v>Ozone Injection Laundry_Minimum 125 lb Total Washer/Extractor Capacity  and Pre Approved by CNG</v>
      </c>
      <c r="D35" s="137" t="s">
        <v>310</v>
      </c>
      <c r="E35" s="137" t="s">
        <v>94</v>
      </c>
      <c r="F35" s="137" t="s">
        <v>106</v>
      </c>
      <c r="G35" s="138" t="s">
        <v>107</v>
      </c>
      <c r="H35" s="138" t="str">
        <f t="shared" si="17"/>
        <v>Minimum 125 lb Total Washer/Extractor Capacity  and Pre Approved by CNG</v>
      </c>
      <c r="I35" s="52">
        <f>COUNTIF('All TRC 2022 Measure Data'!$B:$B,D35)</f>
        <v>0</v>
      </c>
      <c r="J35" s="162">
        <v>2627.6738</v>
      </c>
      <c r="K35" s="53" t="s">
        <v>110</v>
      </c>
      <c r="L35" s="180">
        <f>IFERROR(INDEX('Com Measure Mapping'!$T:$T,MATCH($C35,'Com Measure Mapping'!$B:$B,0)),"N/A")</f>
        <v>2627.6738128332263</v>
      </c>
      <c r="M35" s="181" t="str">
        <f>IFERROR(INDEX('Com Measure Mapping'!$U:$U,MATCH($C35,'Com Measure Mapping'!$B:$B,0)),"N/A")</f>
        <v>site</v>
      </c>
      <c r="N35" s="182">
        <f t="shared" si="10"/>
        <v>2627.6738128332263</v>
      </c>
      <c r="O35" s="67">
        <f>SUMIF('All TRC 2022 Measure Data'!$B:$B,D35,'All TRC 2022 Measure Data'!$W:$W)</f>
        <v>0</v>
      </c>
      <c r="P35" s="184">
        <f>IFERROR(INDEX('Com Measure Mapping'!$Y:$Y,MATCH($C35,'Com Measure Mapping'!$B:$B,0)),"N/A")</f>
        <v>2.1162339850484582</v>
      </c>
      <c r="Q35" s="184">
        <f>IFERROR(INDEX('Com Measure Mapping'!$Z:$Z,MATCH($C35,'Com Measure Mapping'!$B:$B,0)),"N/A")</f>
        <v>2.0739093053474886</v>
      </c>
      <c r="R35" s="185">
        <f t="shared" si="2"/>
        <v>-2.0000000000000177E-2</v>
      </c>
      <c r="S35" s="186">
        <f t="shared" si="66"/>
        <v>0</v>
      </c>
      <c r="T35" s="186">
        <f t="shared" si="11"/>
        <v>0</v>
      </c>
      <c r="U35" s="168">
        <f t="shared" si="12"/>
        <v>0</v>
      </c>
      <c r="V35" s="168"/>
      <c r="W35" s="187">
        <f>IFERROR(INDEX('Com Measure Mapping'!$V:$V,MATCH($C35,'Com Measure Mapping'!$B:$B,0)),"N/A")</f>
        <v>14325.891111111114</v>
      </c>
      <c r="X35" s="64">
        <v>14325.891111111114</v>
      </c>
      <c r="Y35" s="64">
        <f t="shared" si="13"/>
        <v>0</v>
      </c>
      <c r="Z35" s="64">
        <f t="shared" si="3"/>
        <v>910.40443300158586</v>
      </c>
      <c r="AA35" s="64">
        <f t="shared" si="4"/>
        <v>0</v>
      </c>
      <c r="AB35" s="52">
        <v>10</v>
      </c>
      <c r="AC35" s="189">
        <f>IFERROR(INDEX('Com Measure Mapping'!$W:$W,MATCH($C35,'Com Measure Mapping'!$B:$B,0)),"N/A")</f>
        <v>10</v>
      </c>
      <c r="AD35" s="188">
        <f t="shared" si="14"/>
        <v>10</v>
      </c>
      <c r="AE35" s="147">
        <f t="shared" si="5"/>
        <v>0</v>
      </c>
      <c r="AF35" s="145">
        <f t="shared" si="15"/>
        <v>0</v>
      </c>
      <c r="AG35" s="54">
        <v>9000</v>
      </c>
      <c r="AH35" s="191">
        <f>IFERROR(INDEX('Com Measure Mapping'!$X:$X,MATCH($C35,'Com Measure Mapping'!$B:$B,0)),"N/A")</f>
        <v>6806.7884467940185</v>
      </c>
      <c r="AI35" s="54">
        <v>9000</v>
      </c>
      <c r="AJ35" s="145">
        <f t="shared" si="16"/>
        <v>0</v>
      </c>
      <c r="AK35" s="156">
        <f t="shared" si="48"/>
        <v>0</v>
      </c>
      <c r="AL35" s="157">
        <f t="shared" si="7"/>
        <v>0</v>
      </c>
      <c r="AM35" s="163" t="str">
        <f>IFERROR(IF($E$3="Original",IF($AJ35=0,"-",(INDEX('APP 2885'!$G:$G,MATCH($D$2+$AB35-1,'APP 2885'!$A:$A,0))*$U35)/($AJ35+$AF35)),IF($AJ35=0,"-",(INDEX('APP 2885'!$G:$G,MATCH($D$2+$AD35-1,'APP 2885'!$A:$A,0))*$U35)/($AJ35+$AF35))),"N/A")</f>
        <v>-</v>
      </c>
      <c r="AN35" s="64">
        <f t="shared" si="8"/>
        <v>0</v>
      </c>
      <c r="AO35" s="64">
        <f t="shared" si="9"/>
        <v>0</v>
      </c>
      <c r="AP35" s="163" t="str">
        <f>IFERROR(IF($E$3="Original",IF($AA35=0,"-",(INDEX('APP 2885'!$E:$E,MATCH($D$2+$AB35-1,'APP 2885'!$A:$A,0))*$U35)/(AA35+AF35)),IF($AA35=0,"-",(INDEX('APP 2885'!$E:$E,MATCH($D$2+$AD35-1,'APP 2885'!$A:$A,0))*$U35)/(AA35+AF35))),"N/A")</f>
        <v>-</v>
      </c>
      <c r="AR35" s="203">
        <f>(INDEX('APP 2885'!$G:$G,MATCH($D$2+$AD35-1,'APP 2885'!$A:$A,0))*$N35)/($AI35+($E$57*N35/SUM($U$5:$U$42)))</f>
        <v>2.2971985538481272</v>
      </c>
    </row>
    <row r="36" spans="2:44" ht="13.5" thickBot="1">
      <c r="B36" s="142" t="str">
        <f t="shared" si="0"/>
        <v>Radiant Heating_None</v>
      </c>
      <c r="C36" s="142" t="str">
        <f t="shared" si="1"/>
        <v>Radiant Heating_None</v>
      </c>
      <c r="D36" s="135" t="s">
        <v>122</v>
      </c>
      <c r="E36" s="135" t="s">
        <v>6</v>
      </c>
      <c r="F36" s="135" t="s">
        <v>63</v>
      </c>
      <c r="G36" s="136" t="s">
        <v>11</v>
      </c>
      <c r="H36" s="136" t="str">
        <f t="shared" si="17"/>
        <v>None</v>
      </c>
      <c r="I36" s="47">
        <f>COUNTIF('All TRC 2022 Measure Data'!$B:$B,D36)</f>
        <v>38</v>
      </c>
      <c r="J36" s="164">
        <v>4.33</v>
      </c>
      <c r="K36" s="48" t="s">
        <v>55</v>
      </c>
      <c r="L36" s="164">
        <f>IFERROR(INDEX('Com Measure Mapping'!$T:$T,MATCH($C36,'Com Measure Mapping'!$B:$B,0)),"N/A")</f>
        <v>0.12006073942736867</v>
      </c>
      <c r="M36" s="66" t="str">
        <f>IFERROR(INDEX('Com Measure Mapping'!$U:$U,MATCH($C36,'Com Measure Mapping'!$B:$B,0)),"N/A")</f>
        <v>120 kBtu/Hr</v>
      </c>
      <c r="N36" s="183">
        <v>1.92</v>
      </c>
      <c r="O36" s="66">
        <f>SUMIF('All TRC 2022 Measure Data'!$B:$B,D36,'All TRC 2022 Measure Data'!$W:$W)</f>
        <v>3850</v>
      </c>
      <c r="P36" s="165">
        <f>IFERROR(INDEX('Com Measure Mapping'!$Y:$Y,MATCH($C36,'Com Measure Mapping'!$B:$B,0)),"N/A")</f>
        <v>35.348204047092466</v>
      </c>
      <c r="Q36" s="165">
        <f>IFERROR(INDEX('Com Measure Mapping'!$Z:$Z,MATCH($C36,'Com Measure Mapping'!$B:$B,0)),"N/A")</f>
        <v>64.240929300196882</v>
      </c>
      <c r="R36" s="167">
        <f t="shared" si="2"/>
        <v>0.81737463138472977</v>
      </c>
      <c r="S36" s="166">
        <f t="shared" si="66"/>
        <v>4235</v>
      </c>
      <c r="T36" s="166">
        <f t="shared" si="11"/>
        <v>6871</v>
      </c>
      <c r="U36" s="66">
        <f t="shared" si="12"/>
        <v>8131.2</v>
      </c>
      <c r="V36" s="66"/>
      <c r="W36" s="143">
        <f>IFERROR(INDEX('Com Measure Mapping'!$V:$V,MATCH($C36,'Com Measure Mapping'!$B:$B,0)),"N/A")</f>
        <v>0.19294238094510707</v>
      </c>
      <c r="X36" s="63">
        <v>21</v>
      </c>
      <c r="Y36" s="63">
        <f t="shared" si="13"/>
        <v>88935</v>
      </c>
      <c r="Z36" s="63">
        <f t="shared" si="3"/>
        <v>0.76320014396168467</v>
      </c>
      <c r="AA36" s="63">
        <f t="shared" si="4"/>
        <v>85702.847390322277</v>
      </c>
      <c r="AB36" s="47">
        <v>18</v>
      </c>
      <c r="AC36" s="47">
        <f>IFERROR(INDEX('Com Measure Mapping'!$W:$W,MATCH($C36,'Com Measure Mapping'!$B:$B,0)),"N/A")</f>
        <v>12</v>
      </c>
      <c r="AD36" s="190">
        <f t="shared" si="14"/>
        <v>12</v>
      </c>
      <c r="AE36" s="146">
        <f t="shared" si="5"/>
        <v>71825.613548394089</v>
      </c>
      <c r="AF36" s="144">
        <f t="shared" si="15"/>
        <v>25714.417011768364</v>
      </c>
      <c r="AG36" s="49">
        <v>15</v>
      </c>
      <c r="AH36" s="49">
        <f>IFERROR(INDEX('Com Measure Mapping'!$X:$X,MATCH($C36,'Com Measure Mapping'!$B:$B,0)),"N/A")</f>
        <v>340.21199250000006</v>
      </c>
      <c r="AI36" s="49">
        <v>15</v>
      </c>
      <c r="AJ36" s="144">
        <f t="shared" si="16"/>
        <v>63525</v>
      </c>
      <c r="AK36" s="154">
        <f t="shared" si="48"/>
        <v>0.88443379543425182</v>
      </c>
      <c r="AL36" s="155">
        <f t="shared" si="7"/>
        <v>1.2424455929170914</v>
      </c>
      <c r="AM36" s="70">
        <f>IFERROR(IF($E$3="Original",IF($AJ36=0,"-",(INDEX('APP 2885'!$G:$G,MATCH($D$2+$AB36-1,'APP 2885'!$A:$A,0))*$U36)/($AJ36+$AF36)),IF($AJ36=0,"-",(INDEX('APP 2885'!$G:$G,MATCH($D$2+$AD36-1,'APP 2885'!$A:$A,0))*$U36)/($AJ36+$AF36))),"N/A")</f>
        <v>1.6133378597807637</v>
      </c>
      <c r="AN36" s="63">
        <f t="shared" si="8"/>
        <v>1.1932073136079526</v>
      </c>
      <c r="AO36" s="63">
        <f t="shared" si="9"/>
        <v>1.5512191110907922</v>
      </c>
      <c r="AP36" s="70">
        <f>IFERROR(IF($E$3="Original",IF($AA36=0,"-",(INDEX('APP 2885'!$E:$E,MATCH($D$2+$AB36-1,'APP 2885'!$A:$A,0))*$U36)/(AA36+AF36)),IF($AA36=0,"-",(INDEX('APP 2885'!$E:$E,MATCH($D$2+$AD36-1,'APP 2885'!$A:$A,0))*$U36)/(AA36+AF36))),"N/A")</f>
        <v>1.1747267912405073</v>
      </c>
      <c r="AR36" s="204"/>
    </row>
    <row r="37" spans="2:44" ht="13.5" thickBot="1">
      <c r="B37" s="142" t="str">
        <f t="shared" si="0"/>
        <v>Tankless Water Heater_Minimum .87 Energy Factor</v>
      </c>
      <c r="C37" s="142" t="str">
        <f t="shared" si="1"/>
        <v>Tankless Water Heater_Minimum .87 Energy Factor</v>
      </c>
      <c r="D37" s="137" t="s">
        <v>123</v>
      </c>
      <c r="E37" s="137" t="s">
        <v>58</v>
      </c>
      <c r="F37" s="137" t="s">
        <v>9</v>
      </c>
      <c r="G37" s="138" t="s">
        <v>64</v>
      </c>
      <c r="H37" s="138" t="str">
        <f t="shared" si="17"/>
        <v>Minimum .87 Energy Factor</v>
      </c>
      <c r="I37" s="52">
        <f>COUNTIF('All TRC 2022 Measure Data'!$B:$B,D37)</f>
        <v>1</v>
      </c>
      <c r="J37" s="162">
        <v>22</v>
      </c>
      <c r="K37" s="53" t="s">
        <v>59</v>
      </c>
      <c r="L37" s="180">
        <f>IFERROR(INDEX('Com Measure Mapping'!$T:$T,MATCH($C37,'Com Measure Mapping'!$B:$B,0)),"N/A")</f>
        <v>21.642595007568275</v>
      </c>
      <c r="M37" s="181" t="str">
        <f>IFERROR(INDEX('Com Measure Mapping'!$U:$U,MATCH($C37,'Com Measure Mapping'!$B:$B,0)),"N/A")</f>
        <v>gpm</v>
      </c>
      <c r="N37" s="182">
        <f t="shared" si="10"/>
        <v>21.642595007568275</v>
      </c>
      <c r="O37" s="67">
        <f>SUMIF('All TRC 2022 Measure Data'!$B:$B,D37,'All TRC 2022 Measure Data'!$W:$W)</f>
        <v>4.8</v>
      </c>
      <c r="P37" s="184">
        <f>IFERROR(INDEX('Com Measure Mapping'!$Y:$Y,MATCH($C37,'Com Measure Mapping'!$B:$B,0)),"N/A")</f>
        <v>3146.9543637455163</v>
      </c>
      <c r="Q37" s="184">
        <f>IFERROR(INDEX('Com Measure Mapping'!$Z:$Z,MATCH($C37,'Com Measure Mapping'!$B:$B,0)),"N/A")</f>
        <v>3472.1844687802422</v>
      </c>
      <c r="R37" s="185">
        <f t="shared" si="2"/>
        <v>0.10334757592341948</v>
      </c>
      <c r="S37" s="186">
        <f t="shared" si="66"/>
        <v>5</v>
      </c>
      <c r="T37" s="186">
        <f t="shared" si="11"/>
        <v>6</v>
      </c>
      <c r="U37" s="168">
        <f t="shared" si="12"/>
        <v>108.21</v>
      </c>
      <c r="V37" s="168"/>
      <c r="W37" s="187">
        <f>IFERROR(INDEX('Com Measure Mapping'!$V:$V,MATCH($C37,'Com Measure Mapping'!$B:$B,0)),"N/A")</f>
        <v>27.008310440738232</v>
      </c>
      <c r="X37" s="64">
        <v>137.9</v>
      </c>
      <c r="Y37" s="64">
        <f t="shared" si="13"/>
        <v>689.5</v>
      </c>
      <c r="Z37" s="64">
        <f t="shared" si="3"/>
        <v>7.498462838240683</v>
      </c>
      <c r="AA37" s="64">
        <f t="shared" si="4"/>
        <v>652.00768580879662</v>
      </c>
      <c r="AB37" s="52">
        <v>18</v>
      </c>
      <c r="AC37" s="189">
        <f>IFERROR(INDEX('Com Measure Mapping'!$W:$W,MATCH($C37,'Com Measure Mapping'!$B:$B,0)),"N/A")</f>
        <v>10</v>
      </c>
      <c r="AD37" s="188">
        <f t="shared" si="14"/>
        <v>10</v>
      </c>
      <c r="AE37" s="147">
        <f t="shared" si="5"/>
        <v>833.13963191801463</v>
      </c>
      <c r="AF37" s="145">
        <f t="shared" si="15"/>
        <v>342.20743123320722</v>
      </c>
      <c r="AG37" s="54">
        <v>120</v>
      </c>
      <c r="AH37" s="191">
        <f>IFERROR(INDEX('Com Measure Mapping'!$X:$X,MATCH($C37,'Com Measure Mapping'!$B:$B,0)),"N/A")</f>
        <v>24.066081102537211</v>
      </c>
      <c r="AI37" s="54">
        <v>120</v>
      </c>
      <c r="AJ37" s="145">
        <f t="shared" si="16"/>
        <v>600</v>
      </c>
      <c r="AK37" s="156">
        <f t="shared" si="48"/>
        <v>0.72016739693286269</v>
      </c>
      <c r="AL37" s="157">
        <f t="shared" si="7"/>
        <v>1.1309117885366968</v>
      </c>
      <c r="AM37" s="163">
        <f>IFERROR(IF($E$3="Original",IF($AJ37=0,"-",(INDEX('APP 2885'!$G:$G,MATCH($D$2+$AB37-1,'APP 2885'!$A:$A,0))*$U37)/($AJ37+$AF37)),IF($AJ37=0,"-",(INDEX('APP 2885'!$G:$G,MATCH($D$2+$AD37-1,'APP 2885'!$A:$A,0))*$U37)/($AJ37+$AF37))),"N/A")</f>
        <v>1.7379665171618157</v>
      </c>
      <c r="AN37" s="64">
        <f t="shared" si="8"/>
        <v>0.78259112978190148</v>
      </c>
      <c r="AO37" s="64">
        <f t="shared" si="9"/>
        <v>1.1933355213857355</v>
      </c>
      <c r="AP37" s="163">
        <f>IFERROR(IF($E$3="Original",IF($AA37=0,"-",(INDEX('APP 2885'!$E:$E,MATCH($D$2+$AB37-1,'APP 2885'!$A:$A,0))*$U37)/(AA37+AF37)),IF($AA37=0,"-",(INDEX('APP 2885'!$E:$E,MATCH($D$2+$AD37-1,'APP 2885'!$A:$A,0))*$U37)/(AA37+AF37))),"N/A")</f>
        <v>1.4973208876349475</v>
      </c>
      <c r="AR37" s="203"/>
    </row>
    <row r="38" spans="2:44" ht="13.5" thickBot="1">
      <c r="B38" s="142" t="str">
        <f t="shared" si="0"/>
        <v>Tankless Water Heater - Tier 2_Minimum .93 Energy Factor</v>
      </c>
      <c r="C38" s="142" t="str">
        <f t="shared" si="1"/>
        <v>Tankless Water Heater - Tier 2_Minimum .93 Energy Factor</v>
      </c>
      <c r="D38" s="135" t="s">
        <v>124</v>
      </c>
      <c r="E38" s="135" t="s">
        <v>66</v>
      </c>
      <c r="F38" s="135" t="s">
        <v>9</v>
      </c>
      <c r="G38" s="136" t="s">
        <v>67</v>
      </c>
      <c r="H38" s="136" t="str">
        <f t="shared" si="17"/>
        <v>Minimum .93 Energy Factor</v>
      </c>
      <c r="I38" s="47">
        <f>COUNTIF('All TRC 2022 Measure Data'!$B:$B,D38)</f>
        <v>17</v>
      </c>
      <c r="J38" s="164">
        <v>38</v>
      </c>
      <c r="K38" s="48" t="s">
        <v>59</v>
      </c>
      <c r="L38" s="164">
        <f>IFERROR(INDEX('Com Measure Mapping'!$T:$T,MATCH($C38,'Com Measure Mapping'!$B:$B,0)),"N/A")</f>
        <v>37.62785514993638</v>
      </c>
      <c r="M38" s="66" t="str">
        <f>IFERROR(INDEX('Com Measure Mapping'!$U:$U,MATCH($C38,'Com Measure Mapping'!$B:$B,0)),"N/A")</f>
        <v>gpm</v>
      </c>
      <c r="N38" s="183">
        <f t="shared" si="10"/>
        <v>37.62785514993638</v>
      </c>
      <c r="O38" s="66">
        <f>SUMIF('All TRC 2022 Measure Data'!$B:$B,D38,'All TRC 2022 Measure Data'!$W:$W)</f>
        <v>105.60000000000001</v>
      </c>
      <c r="P38" s="165">
        <f>IFERROR(INDEX('Com Measure Mapping'!$Y:$Y,MATCH($C38,'Com Measure Mapping'!$B:$B,0)),"N/A")</f>
        <v>3146.9543637455163</v>
      </c>
      <c r="Q38" s="165">
        <f>IFERROR(INDEX('Com Measure Mapping'!$Z:$Z,MATCH($C38,'Com Measure Mapping'!$B:$B,0)),"N/A")</f>
        <v>3472.1844687802422</v>
      </c>
      <c r="R38" s="167">
        <f t="shared" si="2"/>
        <v>0.10334757592341948</v>
      </c>
      <c r="S38" s="166">
        <f t="shared" si="66"/>
        <v>116</v>
      </c>
      <c r="T38" s="166">
        <f t="shared" si="11"/>
        <v>128</v>
      </c>
      <c r="U38" s="66">
        <f t="shared" si="12"/>
        <v>4364.83</v>
      </c>
      <c r="V38" s="66"/>
      <c r="W38" s="143">
        <f>IFERROR(INDEX('Com Measure Mapping'!$V:$V,MATCH($C38,'Com Measure Mapping'!$B:$B,0)),"N/A")</f>
        <v>54.368520691779096</v>
      </c>
      <c r="X38" s="63">
        <v>52.8</v>
      </c>
      <c r="Y38" s="63">
        <f t="shared" si="13"/>
        <v>6124.7999999999993</v>
      </c>
      <c r="Z38" s="63">
        <f t="shared" si="3"/>
        <v>13.036841165573481</v>
      </c>
      <c r="AA38" s="63">
        <f t="shared" si="4"/>
        <v>4612.5264247934765</v>
      </c>
      <c r="AB38" s="47">
        <v>20</v>
      </c>
      <c r="AC38" s="47">
        <f>IFERROR(INDEX('Com Measure Mapping'!$W:$W,MATCH($C38,'Com Measure Mapping'!$B:$B,0)),"N/A")</f>
        <v>10</v>
      </c>
      <c r="AD38" s="190">
        <f t="shared" si="14"/>
        <v>10</v>
      </c>
      <c r="AE38" s="146">
        <f t="shared" si="5"/>
        <v>33606.070229966797</v>
      </c>
      <c r="AF38" s="144">
        <f t="shared" si="15"/>
        <v>13803.504870803436</v>
      </c>
      <c r="AG38" s="49">
        <v>150</v>
      </c>
      <c r="AH38" s="49">
        <f>IFERROR(INDEX('Com Measure Mapping'!$X:$X,MATCH($C38,'Com Measure Mapping'!$B:$B,0)),"N/A")</f>
        <v>44.69415061899771</v>
      </c>
      <c r="AI38" s="49">
        <v>150</v>
      </c>
      <c r="AJ38" s="144">
        <f t="shared" si="16"/>
        <v>17400</v>
      </c>
      <c r="AK38" s="154">
        <f t="shared" si="48"/>
        <v>0.51776360285304301</v>
      </c>
      <c r="AL38" s="155">
        <f t="shared" si="7"/>
        <v>0.92850799445687726</v>
      </c>
      <c r="AM38" s="70">
        <f>IFERROR(IF($E$3="Original",IF($AJ38=0,"-",(INDEX('APP 2885'!$G:$G,MATCH($D$2+$AB38-1,'APP 2885'!$A:$A,0))*$U38)/($AJ38+$AF38)),IF($AJ38=0,"-",(INDEX('APP 2885'!$G:$G,MATCH($D$2+$AD38-1,'APP 2885'!$A:$A,0))*$U38)/($AJ38+$AF38))),"N/A")</f>
        <v>2.1168227242782738</v>
      </c>
      <c r="AN38" s="63">
        <f t="shared" si="8"/>
        <v>0.13725277585953655</v>
      </c>
      <c r="AO38" s="63">
        <f t="shared" si="9"/>
        <v>0.54799716746337068</v>
      </c>
      <c r="AP38" s="70">
        <f>IFERROR(IF($E$3="Original",IF($AA38=0,"-",(INDEX('APP 2885'!$E:$E,MATCH($D$2+$AB38-1,'APP 2885'!$A:$A,0))*$U38)/(AA38+AF38)),IF($AA38=0,"-",(INDEX('APP 2885'!$E:$E,MATCH($D$2+$AD38-1,'APP 2885'!$A:$A,0))*$U38)/(AA38+AF38))),"N/A")</f>
        <v>3.2606121130124941</v>
      </c>
      <c r="AR38" s="204"/>
    </row>
    <row r="39" spans="2:44" ht="13.5" thickBot="1">
      <c r="B39" s="142" t="str">
        <f t="shared" si="0"/>
        <v>Warm-Air Furnace_Minimum  91% AFUE</v>
      </c>
      <c r="C39" s="142" t="str">
        <f t="shared" si="1"/>
        <v>Warm-Air Furnace_Minimum  91% AFUE</v>
      </c>
      <c r="D39" s="137" t="s">
        <v>125</v>
      </c>
      <c r="E39" s="137" t="s">
        <v>60</v>
      </c>
      <c r="F39" s="137" t="s">
        <v>61</v>
      </c>
      <c r="G39" s="138" t="s">
        <v>62</v>
      </c>
      <c r="H39" s="138" t="str">
        <f t="shared" si="17"/>
        <v>Minimum  91% AFUE</v>
      </c>
      <c r="I39" s="52">
        <f>COUNTIF('All TRC 2022 Measure Data'!$B:$B,D39)</f>
        <v>16</v>
      </c>
      <c r="J39" s="162">
        <v>1.1000000000000001</v>
      </c>
      <c r="K39" s="53" t="s">
        <v>55</v>
      </c>
      <c r="L39" s="180">
        <f>IFERROR(INDEX('Com Measure Mapping'!$T:$T,MATCH($C39,'Com Measure Mapping'!$B:$B,0)),"N/A")</f>
        <v>3.0421730636008976E-2</v>
      </c>
      <c r="M39" s="181" t="str">
        <f>IFERROR(INDEX('Com Measure Mapping'!$U:$U,MATCH($C39,'Com Measure Mapping'!$B:$B,0)),"N/A")</f>
        <v>kBtu/Hr</v>
      </c>
      <c r="N39" s="182">
        <v>1.78</v>
      </c>
      <c r="O39" s="67">
        <f>SUMIF('All TRC 2022 Measure Data'!$B:$B,D39,'All TRC 2022 Measure Data'!$W:$W)</f>
        <v>1607</v>
      </c>
      <c r="P39" s="184">
        <f>IFERROR(INDEX('Com Measure Mapping'!$Y:$Y,MATCH($C39,'Com Measure Mapping'!$B:$B,0)),"N/A")</f>
        <v>68715.659986736282</v>
      </c>
      <c r="Q39" s="184">
        <f>IFERROR(INDEX('Com Measure Mapping'!$Z:$Z,MATCH($C39,'Com Measure Mapping'!$B:$B,0)),"N/A")</f>
        <v>87695.28406661468</v>
      </c>
      <c r="R39" s="185">
        <f t="shared" si="2"/>
        <v>0.27620522139410297</v>
      </c>
      <c r="S39" s="186">
        <f t="shared" si="66"/>
        <v>1768</v>
      </c>
      <c r="T39" s="186">
        <f t="shared" si="11"/>
        <v>2256</v>
      </c>
      <c r="U39" s="168">
        <f t="shared" si="12"/>
        <v>3147.04</v>
      </c>
      <c r="V39" s="168"/>
      <c r="W39" s="187">
        <f>IFERROR(INDEX('Com Measure Mapping'!$V:$V,MATCH($C39,'Com Measure Mapping'!$B:$B,0)),"N/A")</f>
        <v>0.50523236941532068</v>
      </c>
      <c r="X39" s="64">
        <v>0.50523236941532068</v>
      </c>
      <c r="Y39" s="64">
        <f t="shared" si="13"/>
        <v>893.25082912628693</v>
      </c>
      <c r="Z39" s="64">
        <f t="shared" si="3"/>
        <v>1.0743506360812018</v>
      </c>
      <c r="AA39" s="64">
        <f t="shared" si="4"/>
        <v>0</v>
      </c>
      <c r="AB39" s="52">
        <v>18</v>
      </c>
      <c r="AC39" s="189">
        <f>IFERROR(INDEX('Com Measure Mapping'!$W:$W,MATCH($C39,'Com Measure Mapping'!$B:$B,0)),"N/A")</f>
        <v>23</v>
      </c>
      <c r="AD39" s="188">
        <f t="shared" si="14"/>
        <v>23</v>
      </c>
      <c r="AE39" s="147">
        <f t="shared" si="5"/>
        <v>42210.042768701438</v>
      </c>
      <c r="AF39" s="145">
        <f t="shared" si="15"/>
        <v>9952.3193271245946</v>
      </c>
      <c r="AG39" s="54">
        <v>5</v>
      </c>
      <c r="AH39" s="191">
        <f>IFERROR(INDEX('Com Measure Mapping'!$X:$X,MATCH($C39,'Com Measure Mapping'!$B:$B,0)),"N/A")</f>
        <v>5.2614207142857135</v>
      </c>
      <c r="AI39" s="54">
        <v>6</v>
      </c>
      <c r="AJ39" s="145">
        <f t="shared" si="16"/>
        <v>10608</v>
      </c>
      <c r="AK39" s="156">
        <f t="shared" si="48"/>
        <v>0.25131459965887043</v>
      </c>
      <c r="AL39" s="157">
        <f t="shared" si="7"/>
        <v>0.48709543934340627</v>
      </c>
      <c r="AM39" s="163">
        <f>IFERROR(IF($E$3="Original",IF($AJ39=0,"-",(INDEX('APP 2885'!$G:$G,MATCH($D$2+$AB39-1,'APP 2885'!$A:$A,0))*$U39)/($AJ39+$AF39)),IF($AJ39=0,"-",(INDEX('APP 2885'!$G:$G,MATCH($D$2+$AD39-1,'APP 2885'!$A:$A,0))*$U39)/($AJ39+$AF39))),"N/A")</f>
        <v>6.9861902363597235</v>
      </c>
      <c r="AN39" s="64">
        <f t="shared" si="8"/>
        <v>0</v>
      </c>
      <c r="AO39" s="64">
        <f t="shared" si="9"/>
        <v>0.23578083968453584</v>
      </c>
      <c r="AP39" s="163" t="str">
        <f>IFERROR(IF($E$3="Original",IF($AA39=0,"-",(INDEX('APP 2885'!$E:$E,MATCH($D$2+$AB39-1,'APP 2885'!$A:$A,0))*$U39)/(AA39+AF39)),IF($AA39=0,"-",(INDEX('APP 2885'!$E:$E,MATCH($D$2+$AD39-1,'APP 2885'!$A:$A,0))*$U39)/(AA39+AF39))),"N/A")</f>
        <v>-</v>
      </c>
      <c r="AR39" s="203"/>
    </row>
    <row r="40" spans="2:44" ht="13.5" thickBot="1">
      <c r="B40" s="142" t="str">
        <f t="shared" si="0"/>
        <v>Windows_0.27 or less U</v>
      </c>
      <c r="C40" s="142" t="str">
        <f t="shared" si="1"/>
        <v>Windows_0.27 or less U</v>
      </c>
      <c r="D40" s="135" t="s">
        <v>126</v>
      </c>
      <c r="E40" s="135" t="s">
        <v>81</v>
      </c>
      <c r="F40" s="135" t="s">
        <v>82</v>
      </c>
      <c r="G40" s="136" t="s">
        <v>83</v>
      </c>
      <c r="H40" s="136" t="str">
        <f t="shared" si="17"/>
        <v>0.27 or less U</v>
      </c>
      <c r="I40" s="47">
        <f>COUNTIF('All TRC 2022 Measure Data'!$B:$B,D40)</f>
        <v>0</v>
      </c>
      <c r="J40" s="164">
        <v>1.1000000000000001</v>
      </c>
      <c r="K40" s="48" t="s">
        <v>78</v>
      </c>
      <c r="L40" s="164" t="str">
        <f>IFERROR(INDEX('Com Measure Mapping'!$T:$T,MATCH($C40,'Com Measure Mapping'!$B:$B,0)),"N/A")</f>
        <v>N/A</v>
      </c>
      <c r="M40" s="66" t="str">
        <f>IFERROR(INDEX('Com Measure Mapping'!$U:$U,MATCH($C40,'Com Measure Mapping'!$B:$B,0)),"N/A")</f>
        <v>N/A</v>
      </c>
      <c r="N40" s="183">
        <f t="shared" si="10"/>
        <v>1.1000000000000001</v>
      </c>
      <c r="O40" s="66">
        <f>SUMIF('All TRC 2022 Measure Data'!$B:$B,D40,'All TRC 2022 Measure Data'!$W:$W)</f>
        <v>0</v>
      </c>
      <c r="P40" s="165" t="str">
        <f>IFERROR(INDEX('Com Measure Mapping'!$Y:$Y,MATCH($C40,'Com Measure Mapping'!$B:$B,0)),"N/A")</f>
        <v>N/A</v>
      </c>
      <c r="Q40" s="165" t="str">
        <f>IFERROR(INDEX('Com Measure Mapping'!$Z:$Z,MATCH($C40,'Com Measure Mapping'!$B:$B,0)),"N/A")</f>
        <v>N/A</v>
      </c>
      <c r="R40" s="167" t="str">
        <f t="shared" si="2"/>
        <v>N/A</v>
      </c>
      <c r="S40" s="166">
        <f t="shared" si="66"/>
        <v>0</v>
      </c>
      <c r="T40" s="166">
        <f t="shared" si="11"/>
        <v>0</v>
      </c>
      <c r="U40" s="66">
        <f t="shared" si="12"/>
        <v>0</v>
      </c>
      <c r="V40" s="66"/>
      <c r="W40" s="143" t="str">
        <f>IFERROR(INDEX('Com Measure Mapping'!$V:$V,MATCH($C40,'Com Measure Mapping'!$B:$B,0)),"N/A")</f>
        <v>N/A</v>
      </c>
      <c r="X40" s="63">
        <v>24.150000000000002</v>
      </c>
      <c r="Y40" s="63">
        <f t="shared" si="13"/>
        <v>0</v>
      </c>
      <c r="Z40" s="63">
        <f t="shared" si="3"/>
        <v>0.87214707593966523</v>
      </c>
      <c r="AA40" s="63">
        <f t="shared" si="4"/>
        <v>0</v>
      </c>
      <c r="AB40" s="47">
        <v>45</v>
      </c>
      <c r="AC40" s="47" t="str">
        <f>IFERROR(INDEX('Com Measure Mapping'!$W:$W,MATCH($C40,'Com Measure Mapping'!$B:$B,0)),"N/A")</f>
        <v>N/A</v>
      </c>
      <c r="AD40" s="190">
        <f t="shared" si="14"/>
        <v>45</v>
      </c>
      <c r="AE40" s="146">
        <f t="shared" si="5"/>
        <v>0</v>
      </c>
      <c r="AF40" s="144">
        <f t="shared" si="15"/>
        <v>0</v>
      </c>
      <c r="AG40" s="49">
        <v>5</v>
      </c>
      <c r="AH40" s="49" t="str">
        <f>IFERROR(INDEX('Com Measure Mapping'!$X:$X,MATCH($C40,'Com Measure Mapping'!$B:$B,0)),"N/A")</f>
        <v>N/A</v>
      </c>
      <c r="AI40" s="49">
        <v>5</v>
      </c>
      <c r="AJ40" s="144">
        <f t="shared" si="16"/>
        <v>0</v>
      </c>
      <c r="AK40" s="154">
        <f t="shared" si="48"/>
        <v>0</v>
      </c>
      <c r="AL40" s="155">
        <f t="shared" si="7"/>
        <v>0</v>
      </c>
      <c r="AM40" s="70" t="str">
        <f>IFERROR(IF($E$3="Original",IF($AJ40=0,"-",(INDEX('APP 2885'!$G:$G,MATCH($D$2+$AB40-1,'APP 2885'!$A:$A,0))*$U40)/($AJ40+$AF40)),IF($AJ40=0,"-",(INDEX('APP 2885'!$G:$G,MATCH($D$2+$AD40-1,'APP 2885'!$A:$A,0))*$U40)/($AJ40+$AF40))),"N/A")</f>
        <v>-</v>
      </c>
      <c r="AN40" s="63">
        <f t="shared" si="8"/>
        <v>0</v>
      </c>
      <c r="AO40" s="63">
        <f t="shared" si="9"/>
        <v>0</v>
      </c>
      <c r="AP40" s="70" t="str">
        <f>IFERROR(IF($E$3="Original",IF($AA40=0,"-",(INDEX('APP 2885'!$E:$E,MATCH($D$2+$AB40-1,'APP 2885'!$A:$A,0))*$U40)/(AA40+AF40)),IF($AA40=0,"-",(INDEX('APP 2885'!$E:$E,MATCH($D$2+$AD40-1,'APP 2885'!$A:$A,0))*$U40)/(AA40+AF40))),"N/A")</f>
        <v>-</v>
      </c>
      <c r="AR40" s="204">
        <f>(INDEX('APP 2885'!$G:$G,MATCH($D$2+$AD40-1,'APP 2885'!$A:$A,0))*$N40)/($AI40+($E$57*N40/SUM($U$5:$U$42)))</f>
        <v>12.928464867627751</v>
      </c>
    </row>
    <row r="41" spans="2:44" ht="13.5" thickBot="1">
      <c r="B41" s="142" t="str">
        <f t="shared" si="0"/>
        <v>Windows_0.3 or less U</v>
      </c>
      <c r="C41" s="142" t="str">
        <f t="shared" si="1"/>
        <v>Windows_0.3 or less U</v>
      </c>
      <c r="D41" s="137" t="s">
        <v>298</v>
      </c>
      <c r="E41" s="137" t="s">
        <v>81</v>
      </c>
      <c r="F41" s="137" t="s">
        <v>299</v>
      </c>
      <c r="G41" s="138" t="s">
        <v>789</v>
      </c>
      <c r="H41" s="138" t="str">
        <f t="shared" si="17"/>
        <v>0.3 or less U</v>
      </c>
      <c r="I41" s="52">
        <f>COUNTIF('All TRC 2022 Measure Data'!$B:$B,D41)</f>
        <v>10</v>
      </c>
      <c r="J41" s="162">
        <v>0.48770000000000002</v>
      </c>
      <c r="K41" s="53" t="s">
        <v>78</v>
      </c>
      <c r="L41" s="180">
        <f>IFERROR(INDEX('Com Measure Mapping'!$T:$T,MATCH($C41,'Com Measure Mapping'!$B:$B,0)),"N/A")</f>
        <v>0.36073434904625079</v>
      </c>
      <c r="M41" s="181" t="str">
        <f>IFERROR(INDEX('Com Measure Mapping'!$U:$U,MATCH($C41,'Com Measure Mapping'!$B:$B,0)),"N/A")</f>
        <v>sqft window</v>
      </c>
      <c r="N41" s="182">
        <f t="shared" si="10"/>
        <v>0.36073434904625079</v>
      </c>
      <c r="O41" s="67">
        <f>SUMIF('All TRC 2022 Measure Data'!$B:$B,D41,'All TRC 2022 Measure Data'!$W:$W)</f>
        <v>1085.7400000000002</v>
      </c>
      <c r="P41" s="184">
        <f>IFERROR(INDEX('Com Measure Mapping'!$Y:$Y,MATCH($C41,'Com Measure Mapping'!$B:$B,0)),"N/A")</f>
        <v>578.69898949588298</v>
      </c>
      <c r="Q41" s="184">
        <f>IFERROR(INDEX('Com Measure Mapping'!$Z:$Z,MATCH($C41,'Com Measure Mapping'!$B:$B,0)),"N/A")</f>
        <v>860.81655309084351</v>
      </c>
      <c r="R41" s="185">
        <f t="shared" si="2"/>
        <v>0.48750312116618544</v>
      </c>
      <c r="S41" s="186">
        <f t="shared" si="66"/>
        <v>1194</v>
      </c>
      <c r="T41" s="186">
        <f t="shared" si="11"/>
        <v>1776</v>
      </c>
      <c r="U41" s="168">
        <f t="shared" si="12"/>
        <v>430.71</v>
      </c>
      <c r="V41" s="168"/>
      <c r="W41" s="187">
        <f>IFERROR(INDEX('Com Measure Mapping'!$V:$V,MATCH($C41,'Com Measure Mapping'!$B:$B,0)),"N/A")</f>
        <v>24.150000000000002</v>
      </c>
      <c r="X41" s="64">
        <v>24.150000000000002</v>
      </c>
      <c r="Y41" s="64">
        <f>IF($E$3="Original",O41*V41,S41*X41)</f>
        <v>28835.100000000002</v>
      </c>
      <c r="Z41" s="64">
        <f t="shared" si="3"/>
        <v>0.28601218882880558</v>
      </c>
      <c r="AA41" s="64">
        <f>IF($E$3="Original",MAX(0,O41*(V41-Z41)),MAX(0,S41*(X41-Z41)))</f>
        <v>28493.601446538407</v>
      </c>
      <c r="AB41" s="52">
        <v>45</v>
      </c>
      <c r="AC41" s="189">
        <f>IFERROR(INDEX('Com Measure Mapping'!$W:$W,MATCH($C41,'Com Measure Mapping'!$B:$B,0)),"N/A")</f>
        <v>45</v>
      </c>
      <c r="AD41" s="188">
        <f t="shared" si="14"/>
        <v>45</v>
      </c>
      <c r="AE41" s="147">
        <f t="shared" si="5"/>
        <v>7588.7367086459208</v>
      </c>
      <c r="AF41" s="145">
        <f t="shared" si="15"/>
        <v>1362.0937316925854</v>
      </c>
      <c r="AG41" s="54">
        <v>7.5</v>
      </c>
      <c r="AH41" s="191">
        <f>IFERROR(INDEX('Com Measure Mapping'!$X:$X,MATCH($C41,'Com Measure Mapping'!$B:$B,0)),"N/A")</f>
        <v>4.9999930262760257</v>
      </c>
      <c r="AI41" s="54">
        <v>7.5</v>
      </c>
      <c r="AJ41" s="145">
        <f t="shared" si="16"/>
        <v>8955</v>
      </c>
      <c r="AK41" s="156">
        <f t="shared" si="48"/>
        <v>1.1800383046360645</v>
      </c>
      <c r="AL41" s="157">
        <f t="shared" si="7"/>
        <v>1.3595271687233819</v>
      </c>
      <c r="AM41" s="163">
        <f>IFERROR(IF($E$3="Original",IF($AJ41=0,"-",(INDEX('APP 2885'!$G:$G,MATCH($D$2+$AB41-1,'APP 2885'!$A:$A,0))*$U41)/($AJ41+$AF41)),IF($AJ41=0,"-",(INDEX('APP 2885'!$G:$G,MATCH($D$2+$AD41-1,'APP 2885'!$A:$A,0))*$U41)/($AJ41+$AF41))),"N/A")</f>
        <v>4.1601615722558103</v>
      </c>
      <c r="AN41" s="64">
        <f t="shared" si="8"/>
        <v>3.754722629140022</v>
      </c>
      <c r="AO41" s="64">
        <f t="shared" si="9"/>
        <v>3.9342114932273393</v>
      </c>
      <c r="AP41" s="163">
        <f>IFERROR(IF($E$3="Original",IF($AA41=0,"-",(INDEX('APP 2885'!$E:$E,MATCH($D$2+$AB41-1,'APP 2885'!$A:$A,0))*$U41)/(AA41+AF41)),IF($AA41=0,"-",(INDEX('APP 2885'!$E:$E,MATCH($D$2+$AD41-1,'APP 2885'!$A:$A,0))*$U41)/(AA41+AF41))),"N/A")</f>
        <v>1.3069160788167136</v>
      </c>
      <c r="AR41" s="203"/>
    </row>
    <row r="42" spans="2:44" ht="13.5" thickBot="1">
      <c r="B42" s="142" t="str">
        <f t="shared" ref="B42:B49" si="67">E42&amp;"_"&amp;H42</f>
        <v>Windows_U-.22 or less</v>
      </c>
      <c r="C42" s="142" t="str">
        <f t="shared" ref="C42" si="68">E42&amp;"_"&amp;G42</f>
        <v>Windows_U-.22 or less</v>
      </c>
      <c r="D42" s="135" t="s">
        <v>312</v>
      </c>
      <c r="E42" s="135" t="s">
        <v>81</v>
      </c>
      <c r="F42" s="135" t="s">
        <v>311</v>
      </c>
      <c r="G42" s="136" t="s">
        <v>797</v>
      </c>
      <c r="H42" s="136" t="str">
        <f t="shared" si="17"/>
        <v>U-.22 or less</v>
      </c>
      <c r="I42" s="47">
        <f>COUNTIF('All TRC 2022 Measure Data'!$B:$B,D42)</f>
        <v>0</v>
      </c>
      <c r="J42" s="164">
        <v>0.54</v>
      </c>
      <c r="K42" s="48" t="s">
        <v>78</v>
      </c>
      <c r="L42" s="164">
        <f>IFERROR(INDEX('Com Measure Mapping'!$T:$T,MATCH($C42,'Com Measure Mapping'!$B:$B,0)),"N/A")</f>
        <v>0.36073434904625079</v>
      </c>
      <c r="M42" s="66" t="str">
        <f>IFERROR(INDEX('Com Measure Mapping'!$U:$U,MATCH($C42,'Com Measure Mapping'!$B:$B,0)),"N/A")</f>
        <v>sqft window</v>
      </c>
      <c r="N42" s="183">
        <f t="shared" ref="N42" si="69">IF(L42="N/A",J42,L42)</f>
        <v>0.36073434904625079</v>
      </c>
      <c r="O42" s="66">
        <f>SUMIF('All TRC 2022 Measure Data'!$B:$B,D42,'All TRC 2022 Measure Data'!$W:$W)</f>
        <v>0</v>
      </c>
      <c r="P42" s="165">
        <f>IFERROR(INDEX('Com Measure Mapping'!$Y:$Y,MATCH($C42,'Com Measure Mapping'!$B:$B,0)),"N/A")</f>
        <v>578.69898949588298</v>
      </c>
      <c r="Q42" s="165">
        <f>IFERROR(INDEX('Com Measure Mapping'!$Z:$Z,MATCH($C42,'Com Measure Mapping'!$B:$B,0)),"N/A")</f>
        <v>860.81655309084351</v>
      </c>
      <c r="R42" s="167">
        <f t="shared" ref="R42" si="70">IFERROR((Q42-P42)/P42,"N/A")</f>
        <v>0.48750312116618544</v>
      </c>
      <c r="S42" s="166">
        <f t="shared" si="66"/>
        <v>0</v>
      </c>
      <c r="T42" s="166">
        <f t="shared" si="11"/>
        <v>0</v>
      </c>
      <c r="U42" s="66">
        <f t="shared" ref="U42" si="71">IF($E$3="Original",ROUNDDOWN(O42*J42,2),ROUNDDOWN(S42*N42,2))</f>
        <v>0</v>
      </c>
      <c r="V42" s="66"/>
      <c r="W42" s="143">
        <f>IFERROR(INDEX('Com Measure Mapping'!$V:$V,MATCH($C42,'Com Measure Mapping'!$B:$B,0)),"N/A")</f>
        <v>24.150000000000002</v>
      </c>
      <c r="X42" s="63">
        <v>24.150000000000002</v>
      </c>
      <c r="Y42" s="63">
        <f t="shared" ref="Y42" si="72">IF($E$3="Original",O42*V42,S42*X42)</f>
        <v>0</v>
      </c>
      <c r="Z42" s="63">
        <f t="shared" si="3"/>
        <v>0.28601218882880558</v>
      </c>
      <c r="AA42" s="63">
        <f t="shared" ref="AA42" si="73">IF($E$3="Original",MAX(0,O42*(V42-Z42)),MAX(0,S42*(X42-Z42)))</f>
        <v>0</v>
      </c>
      <c r="AB42" s="47">
        <v>45</v>
      </c>
      <c r="AC42" s="47">
        <f>IFERROR(INDEX('Com Measure Mapping'!$W:$W,MATCH($C42,'Com Measure Mapping'!$B:$B,0)),"N/A")</f>
        <v>45</v>
      </c>
      <c r="AD42" s="190">
        <f t="shared" si="14"/>
        <v>45</v>
      </c>
      <c r="AE42" s="146">
        <f t="shared" si="5"/>
        <v>0</v>
      </c>
      <c r="AF42" s="144">
        <f t="shared" si="15"/>
        <v>0</v>
      </c>
      <c r="AG42" s="49">
        <v>9</v>
      </c>
      <c r="AH42" s="49">
        <f>IFERROR(INDEX('Com Measure Mapping'!$X:$X,MATCH($C42,'Com Measure Mapping'!$B:$B,0)),"N/A")</f>
        <v>4.9999930262760257</v>
      </c>
      <c r="AI42" s="49">
        <v>9</v>
      </c>
      <c r="AJ42" s="144">
        <f t="shared" ref="AJ42" si="74">IF($E$3="Original",O42*AG42,S42*AI42)</f>
        <v>0</v>
      </c>
      <c r="AK42" s="154">
        <f t="shared" si="48"/>
        <v>0</v>
      </c>
      <c r="AL42" s="155">
        <f t="shared" ref="AL42" si="75">IF(AE42=0,0,(AJ42+AF42)/AE42)</f>
        <v>0</v>
      </c>
      <c r="AM42" s="70" t="str">
        <f>IFERROR(IF($E$3="Original",IF($AJ42=0,"-",(INDEX('APP 2885'!$G:$G,MATCH($D$2+$AB42-1,'APP 2885'!$A:$A,0))*$U42)/($AJ42+$AF42)),IF($AJ42=0,"-",(INDEX('APP 2885'!$G:$G,MATCH($D$2+$AD42-1,'APP 2885'!$A:$A,0))*$U42)/($AJ42+$AF42))),"N/A")</f>
        <v>-</v>
      </c>
      <c r="AN42" s="63">
        <f t="shared" ref="AN42" si="76">IF(ISERROR(AA42/AE42),0,AA42/AE42)</f>
        <v>0</v>
      </c>
      <c r="AO42" s="63">
        <f t="shared" ref="AO42" si="77">IF(AE42=0,0,(AA42+AF42)/AE42)</f>
        <v>0</v>
      </c>
      <c r="AP42" s="70" t="str">
        <f>IFERROR(IF($E$3="Original",IF($AA42=0,"-",(INDEX('APP 2885'!$E:$E,MATCH($D$2+$AB42-1,'APP 2885'!$A:$A,0))*$U42)/(AA42+AF42)),IF($AA42=0,"-",(INDEX('APP 2885'!$E:$E,MATCH($D$2+$AD42-1,'APP 2885'!$A:$A,0))*$U42)/(AA42+AF42))),"N/A")</f>
        <v>-</v>
      </c>
      <c r="AR42" s="204">
        <f>(INDEX('APP 2885'!$G:$G,MATCH($D$2+$AD42-1,'APP 2885'!$A:$A,0))*$N42)/($AI42+($E$57*N42/SUM($U$5:$U$42)))</f>
        <v>3.5448502759767484</v>
      </c>
    </row>
    <row r="43" spans="2:44" ht="14.25" customHeight="1" thickBot="1">
      <c r="B43" s="142" t="str">
        <f t="shared" si="67"/>
        <v>_</v>
      </c>
      <c r="C43" s="142"/>
      <c r="D43" s="139" t="s">
        <v>26</v>
      </c>
      <c r="E43" s="139"/>
      <c r="F43" s="139"/>
      <c r="G43" s="139"/>
      <c r="H43" s="139"/>
      <c r="I43" s="45"/>
      <c r="J43" s="68"/>
      <c r="K43" s="45"/>
      <c r="L43" s="45"/>
      <c r="M43" s="45"/>
      <c r="N43" s="45"/>
      <c r="O43" s="68"/>
      <c r="P43" s="68"/>
      <c r="Q43" s="68"/>
      <c r="R43" s="68"/>
      <c r="S43" s="68"/>
      <c r="T43" s="68"/>
      <c r="U43" s="68"/>
      <c r="V43" s="45"/>
      <c r="W43" s="45"/>
      <c r="X43" s="45"/>
      <c r="Y43" s="45"/>
      <c r="Z43" s="65"/>
      <c r="AA43" s="65"/>
      <c r="AB43" s="45"/>
      <c r="AC43" s="45"/>
      <c r="AD43" s="45"/>
      <c r="AE43" s="45"/>
      <c r="AF43" s="45"/>
      <c r="AG43" s="45"/>
      <c r="AH43" s="45"/>
      <c r="AI43" s="45"/>
      <c r="AJ43" s="152">
        <f>SUM(AJ5:AJ42)</f>
        <v>1378003.0984261567</v>
      </c>
      <c r="AK43" s="158"/>
      <c r="AL43" s="159"/>
      <c r="AM43" s="72"/>
      <c r="AN43" s="65"/>
      <c r="AO43" s="65"/>
      <c r="AP43" s="72"/>
    </row>
    <row r="44" spans="2:44" ht="13.5" thickBot="1">
      <c r="B44" s="142" t="str">
        <f t="shared" si="67"/>
        <v>008586-C-SEDRO-WOOLLEY SCH DI_</v>
      </c>
      <c r="C44" s="142"/>
      <c r="D44" s="46"/>
      <c r="E44" s="46" t="s">
        <v>388</v>
      </c>
      <c r="F44" s="46"/>
      <c r="G44" s="47" t="s">
        <v>385</v>
      </c>
      <c r="H44" s="47"/>
      <c r="I44" s="47">
        <v>1</v>
      </c>
      <c r="J44" s="66">
        <v>26000</v>
      </c>
      <c r="K44" s="48" t="s">
        <v>21</v>
      </c>
      <c r="L44" s="48"/>
      <c r="M44" s="48"/>
      <c r="N44" s="48"/>
      <c r="O44" s="66">
        <v>1</v>
      </c>
      <c r="P44" s="66"/>
      <c r="Q44" s="66"/>
      <c r="R44" s="66"/>
      <c r="S44" s="66"/>
      <c r="T44" s="66"/>
      <c r="U44" s="66">
        <f t="shared" ref="U44:U49" si="78">O44*J44</f>
        <v>26000</v>
      </c>
      <c r="V44" s="49">
        <v>267570</v>
      </c>
      <c r="W44" s="49"/>
      <c r="X44" s="49"/>
      <c r="Y44" s="50">
        <f t="shared" ref="Y44:Y49" si="79">O44*V44</f>
        <v>267570</v>
      </c>
      <c r="Z44" s="63">
        <f t="shared" ref="Z44:Z49" si="80">PV($E$54,$AB44,(-0.05*0.9*$J44))</f>
        <v>10335.001949481148</v>
      </c>
      <c r="AA44" s="63">
        <f t="shared" ref="AA44:AA49" si="81">MAX(0,O44*(V44-Z44))</f>
        <v>257234.99805051886</v>
      </c>
      <c r="AB44" s="47">
        <v>12</v>
      </c>
      <c r="AC44" s="47"/>
      <c r="AD44" s="47">
        <f t="shared" ref="AD44:AD49" si="82">AB44</f>
        <v>12</v>
      </c>
      <c r="AE44" s="146">
        <f t="shared" ref="AE44:AE49" si="83">PV($E$54,AB44,-U44)</f>
        <v>229666.7099884699</v>
      </c>
      <c r="AF44" s="149">
        <f t="shared" ref="AF44:AF49" si="84">$E$56*U44/SUM($U$44:$U$49)</f>
        <v>353539.0681183837</v>
      </c>
      <c r="AG44" s="49">
        <v>8428</v>
      </c>
      <c r="AH44" s="49"/>
      <c r="AI44" s="49"/>
      <c r="AJ44" s="144">
        <v>43680</v>
      </c>
      <c r="AK44" s="154">
        <f t="shared" ref="AK44" si="85">IF(ISERROR(AJ44/AE44),0,AJ44/AE44)</f>
        <v>0.19018864337018149</v>
      </c>
      <c r="AL44" s="155">
        <f t="shared" ref="AL44" si="86">IF(AE44=0,0,(AJ44+AF44)/AE44)</f>
        <v>1.7295456887867011</v>
      </c>
      <c r="AM44" s="70">
        <f>IFERROR(IF($E$3="Original",IF($AJ44=0,"-",(INDEX('APP 2885'!$G:$G,MATCH($D$2+$AB44-1,'APP 2885'!$A:$A,0))*$U44)/($AJ44+$AF44)),IF($AJ44=0,"-",(INDEX('APP 2885'!$G:$G,MATCH($D$2+$AD44-1,'APP 2885'!$A:$A,0))*$U44)/($AJ44+$AF44))),"N/A")</f>
        <v>1.1589659219566928</v>
      </c>
      <c r="AN44" s="63">
        <f t="shared" ref="AN44" si="87">IF(ISERROR((AA44)/AE44),0,(AA44)/AE44)</f>
        <v>1.1200360647106105</v>
      </c>
      <c r="AO44" s="63">
        <f t="shared" ref="AO44" si="88">IF(AE44=0,0,((AA44)+AF44)/AE44)</f>
        <v>2.6593931101271302</v>
      </c>
      <c r="AP44" s="70">
        <f>IFERROR(IF($E$3="Original",IF($AA44=0,"-",(INDEX('APP 2885'!$E:$E,MATCH($D$2+$AB44-1,'APP 2885'!$A:$A,0))*$U44)/(AA44+AF44)),IF($AA44=0,"-",(INDEX('APP 2885'!$E:$E,MATCH($D$2+$AD44-1,'APP 2885'!$A:$A,0))*$U44)/(AA44+AF44))),"N/A")</f>
        <v>0.68521597726314587</v>
      </c>
    </row>
    <row r="45" spans="2:44" ht="13.5" thickBot="1">
      <c r="B45" s="142" t="str">
        <f t="shared" si="67"/>
        <v>008607-C-TONY'S COFFEE AND TE_</v>
      </c>
      <c r="C45" s="142"/>
      <c r="D45" s="51"/>
      <c r="E45" s="51" t="s">
        <v>394</v>
      </c>
      <c r="F45" s="51"/>
      <c r="G45" s="52" t="s">
        <v>391</v>
      </c>
      <c r="H45" s="52"/>
      <c r="I45" s="52">
        <v>1</v>
      </c>
      <c r="J45" s="67">
        <v>12600</v>
      </c>
      <c r="K45" s="53" t="s">
        <v>21</v>
      </c>
      <c r="L45" s="53"/>
      <c r="M45" s="53"/>
      <c r="N45" s="53"/>
      <c r="O45" s="67">
        <v>1</v>
      </c>
      <c r="P45" s="67"/>
      <c r="Q45" s="67"/>
      <c r="R45" s="67"/>
      <c r="S45" s="67"/>
      <c r="T45" s="67"/>
      <c r="U45" s="67">
        <f t="shared" si="78"/>
        <v>12600</v>
      </c>
      <c r="V45" s="54">
        <v>229000</v>
      </c>
      <c r="W45" s="54"/>
      <c r="X45" s="54"/>
      <c r="Y45" s="54">
        <f t="shared" si="79"/>
        <v>229000</v>
      </c>
      <c r="Z45" s="54">
        <f t="shared" si="80"/>
        <v>5861.470280034081</v>
      </c>
      <c r="AA45" s="64">
        <f t="shared" si="81"/>
        <v>223138.52971996591</v>
      </c>
      <c r="AB45" s="52">
        <v>15</v>
      </c>
      <c r="AC45" s="52"/>
      <c r="AD45" s="52">
        <f t="shared" si="82"/>
        <v>15</v>
      </c>
      <c r="AE45" s="147">
        <f t="shared" si="83"/>
        <v>130254.89511186842</v>
      </c>
      <c r="AF45" s="150">
        <f t="shared" si="84"/>
        <v>171330.47147275519</v>
      </c>
      <c r="AG45" s="54">
        <v>8428</v>
      </c>
      <c r="AH45" s="54"/>
      <c r="AI45" s="54"/>
      <c r="AJ45" s="145">
        <v>42840</v>
      </c>
      <c r="AK45" s="156">
        <f t="shared" ref="AK45:AK49" si="89">IF(ISERROR(AJ45/AE45),0,AJ45/AE45)</f>
        <v>0.32889358947475406</v>
      </c>
      <c r="AL45" s="157">
        <f t="shared" ref="AL45:AL49" si="90">IF(AE45=0,0,(AJ45+AF45)/AE45)</f>
        <v>1.6442412493504872</v>
      </c>
      <c r="AM45" s="71">
        <f>IFERROR(IF($E$3="Original",IF($AJ45=0,"-",(INDEX('APP 2885'!$G:$G,MATCH($D$2+$AB45-1,'APP 2885'!$A:$A,0))*$U45)/($AJ45+$AF45)),IF($AJ45=0,"-",(INDEX('APP 2885'!$G:$G,MATCH($D$2+$AD45-1,'APP 2885'!$A:$A,0))*$U45)/($AJ45+$AF45))),"N/A")</f>
        <v>1.2979609102782839</v>
      </c>
      <c r="AN45" s="64">
        <f t="shared" ref="AN45:AN49" si="91">IF(ISERROR((AA45)/AE45),0,(AA45)/AE45)</f>
        <v>1.713091316286617</v>
      </c>
      <c r="AO45" s="64">
        <f t="shared" ref="AO45:AO49" si="92">IF(AE45=0,0,((AA45)+AF45)/AE45)</f>
        <v>3.02843897616235</v>
      </c>
      <c r="AP45" s="71">
        <f>IFERROR(IF($E$3="Original",IF($AA45=0,"-",(INDEX('APP 2885'!$E:$E,MATCH($D$2+$AB45-1,'APP 2885'!$A:$A,0))*$U45)/(AA45+AF45)),IF($AA45=0,"-",(INDEX('APP 2885'!$E:$E,MATCH($D$2+$AD45-1,'APP 2885'!$A:$A,0))*$U45)/(AA45+AF45))),"N/A")</f>
        <v>0.64064234398183639</v>
      </c>
    </row>
    <row r="46" spans="2:44" ht="13.5" thickBot="1">
      <c r="B46" s="142" t="str">
        <f t="shared" si="67"/>
        <v>008619-C-Valley Church_</v>
      </c>
      <c r="C46" s="142"/>
      <c r="D46" s="46"/>
      <c r="E46" s="46" t="s">
        <v>599</v>
      </c>
      <c r="F46" s="46"/>
      <c r="G46" s="47" t="s">
        <v>598</v>
      </c>
      <c r="H46" s="47"/>
      <c r="I46" s="47">
        <v>1</v>
      </c>
      <c r="J46" s="66">
        <v>497</v>
      </c>
      <c r="K46" s="48" t="s">
        <v>21</v>
      </c>
      <c r="L46" s="48"/>
      <c r="M46" s="48"/>
      <c r="N46" s="48"/>
      <c r="O46" s="66">
        <v>1</v>
      </c>
      <c r="P46" s="66"/>
      <c r="Q46" s="66"/>
      <c r="R46" s="66"/>
      <c r="S46" s="66"/>
      <c r="T46" s="66"/>
      <c r="U46" s="66">
        <f t="shared" si="78"/>
        <v>497</v>
      </c>
      <c r="V46" s="49">
        <v>6593.94</v>
      </c>
      <c r="W46" s="49"/>
      <c r="X46" s="49"/>
      <c r="Y46" s="50">
        <f t="shared" si="79"/>
        <v>6593.94</v>
      </c>
      <c r="Z46" s="63">
        <f t="shared" si="80"/>
        <v>341.46586014080492</v>
      </c>
      <c r="AA46" s="63">
        <f t="shared" si="81"/>
        <v>6252.474139859195</v>
      </c>
      <c r="AB46" s="47">
        <v>30</v>
      </c>
      <c r="AC46" s="47"/>
      <c r="AD46" s="47">
        <f t="shared" si="82"/>
        <v>30</v>
      </c>
      <c r="AE46" s="146">
        <f t="shared" si="83"/>
        <v>7588.1302253512185</v>
      </c>
      <c r="AF46" s="149">
        <f t="shared" si="84"/>
        <v>6758.0352636475654</v>
      </c>
      <c r="AG46" s="49">
        <v>8428</v>
      </c>
      <c r="AH46" s="49"/>
      <c r="AI46" s="49"/>
      <c r="AJ46" s="144">
        <v>2447</v>
      </c>
      <c r="AK46" s="154">
        <f t="shared" si="89"/>
        <v>0.32247733332577855</v>
      </c>
      <c r="AL46" s="155">
        <f t="shared" si="90"/>
        <v>1.2130834593342141</v>
      </c>
      <c r="AM46" s="70">
        <f>IFERROR(IF($E$3="Original",IF($AJ46=0,"-",(INDEX('APP 2885'!$G:$G,MATCH($D$2+$AB46-1,'APP 2885'!$A:$A,0))*$U46)/($AJ46+$AF46)),IF($AJ46=0,"-",(INDEX('APP 2885'!$G:$G,MATCH($D$2+$AD46-1,'APP 2885'!$A:$A,0))*$U46)/($AJ46+$AF46))),"N/A")</f>
        <v>3.1750953113600797</v>
      </c>
      <c r="AN46" s="63">
        <f t="shared" si="91"/>
        <v>0.82398086935438664</v>
      </c>
      <c r="AO46" s="63">
        <f t="shared" si="92"/>
        <v>1.7145869953628221</v>
      </c>
      <c r="AP46" s="70">
        <f>IFERROR(IF($E$3="Original",IF($AA46=0,"-",(INDEX('APP 2885'!$E:$E,MATCH($D$2+$AB46-1,'APP 2885'!$A:$A,0))*$U46)/(AA46+AF46)),IF($AA46=0,"-",(INDEX('APP 2885'!$E:$E,MATCH($D$2+$AD46-1,'APP 2885'!$A:$A,0))*$U46)/(AA46+AF46))),"N/A")</f>
        <v>2.042185729877863</v>
      </c>
    </row>
    <row r="47" spans="2:44" ht="13.5" thickBot="1">
      <c r="B47" s="142" t="str">
        <f t="shared" si="67"/>
        <v>008620-C-SAKUMA BROS FARMS_</v>
      </c>
      <c r="C47" s="142"/>
      <c r="D47" s="51"/>
      <c r="E47" s="51" t="s">
        <v>603</v>
      </c>
      <c r="F47" s="51"/>
      <c r="G47" s="52" t="s">
        <v>600</v>
      </c>
      <c r="H47" s="52"/>
      <c r="I47" s="52">
        <v>1</v>
      </c>
      <c r="J47" s="67">
        <v>66</v>
      </c>
      <c r="K47" s="53" t="s">
        <v>21</v>
      </c>
      <c r="L47" s="53"/>
      <c r="M47" s="53"/>
      <c r="N47" s="53"/>
      <c r="O47" s="67">
        <v>1</v>
      </c>
      <c r="P47" s="67"/>
      <c r="Q47" s="67"/>
      <c r="R47" s="67"/>
      <c r="S47" s="67"/>
      <c r="T47" s="67"/>
      <c r="U47" s="67">
        <f t="shared" si="78"/>
        <v>66</v>
      </c>
      <c r="V47" s="54">
        <v>1637.5</v>
      </c>
      <c r="W47" s="54"/>
      <c r="X47" s="54"/>
      <c r="Y47" s="54">
        <f t="shared" si="79"/>
        <v>1637.5</v>
      </c>
      <c r="Z47" s="54">
        <f t="shared" si="80"/>
        <v>45.345566940227606</v>
      </c>
      <c r="AA47" s="64">
        <f t="shared" si="81"/>
        <v>1592.1544330597724</v>
      </c>
      <c r="AB47" s="52">
        <v>30</v>
      </c>
      <c r="AC47" s="52"/>
      <c r="AD47" s="52">
        <f t="shared" si="82"/>
        <v>30</v>
      </c>
      <c r="AE47" s="147">
        <f t="shared" si="83"/>
        <v>1007.6792653383912</v>
      </c>
      <c r="AF47" s="150">
        <f t="shared" si="84"/>
        <v>897.44532676205097</v>
      </c>
      <c r="AG47" s="54">
        <v>8428</v>
      </c>
      <c r="AH47" s="54"/>
      <c r="AI47" s="54"/>
      <c r="AJ47" s="145">
        <v>527</v>
      </c>
      <c r="AK47" s="156">
        <f t="shared" si="89"/>
        <v>0.52298386810909203</v>
      </c>
      <c r="AL47" s="157">
        <f t="shared" si="90"/>
        <v>1.4135899941175276</v>
      </c>
      <c r="AM47" s="71">
        <f>IFERROR(IF($E$3="Original",IF($AJ47=0,"-",(INDEX('APP 2885'!$G:$G,MATCH($D$2+$AB47-1,'APP 2885'!$A:$A,0))*$U47)/($AJ47+$AF47)),IF($AJ47=0,"-",(INDEX('APP 2885'!$G:$G,MATCH($D$2+$AD47-1,'APP 2885'!$A:$A,0))*$U47)/($AJ47+$AF47))),"N/A")</f>
        <v>2.724733211220153</v>
      </c>
      <c r="AN47" s="64">
        <f t="shared" si="91"/>
        <v>1.5800210323124066</v>
      </c>
      <c r="AO47" s="64">
        <f t="shared" si="92"/>
        <v>2.4706271583208421</v>
      </c>
      <c r="AP47" s="71">
        <f>IFERROR(IF($E$3="Original",IF($AA47=0,"-",(INDEX('APP 2885'!$E:$E,MATCH($D$2+$AB47-1,'APP 2885'!$A:$A,0))*$U47)/(AA47+AF47)),IF($AA47=0,"-",(INDEX('APP 2885'!$E:$E,MATCH($D$2+$AD47-1,'APP 2885'!$A:$A,0))*$U47)/(AA47+AF47))),"N/A")</f>
        <v>1.4172535434055169</v>
      </c>
    </row>
    <row r="48" spans="2:44" ht="13.5" thickBot="1">
      <c r="B48" s="142" t="str">
        <f t="shared" si="67"/>
        <v>008620-C-SAKUMA BROS FARMS_</v>
      </c>
      <c r="C48" s="142"/>
      <c r="D48" s="46"/>
      <c r="E48" s="46" t="s">
        <v>603</v>
      </c>
      <c r="F48" s="46"/>
      <c r="G48" s="47" t="s">
        <v>607</v>
      </c>
      <c r="H48" s="47"/>
      <c r="I48" s="47">
        <v>1</v>
      </c>
      <c r="J48" s="66">
        <v>350</v>
      </c>
      <c r="K48" s="48" t="s">
        <v>21</v>
      </c>
      <c r="L48" s="48"/>
      <c r="M48" s="48"/>
      <c r="N48" s="48"/>
      <c r="O48" s="66">
        <v>1</v>
      </c>
      <c r="P48" s="66"/>
      <c r="Q48" s="66"/>
      <c r="R48" s="66"/>
      <c r="S48" s="66"/>
      <c r="T48" s="66"/>
      <c r="U48" s="66">
        <f t="shared" si="78"/>
        <v>350</v>
      </c>
      <c r="V48" s="49">
        <v>1637.5</v>
      </c>
      <c r="W48" s="49"/>
      <c r="X48" s="49"/>
      <c r="Y48" s="50">
        <f t="shared" si="79"/>
        <v>1637.5</v>
      </c>
      <c r="Z48" s="63">
        <f t="shared" si="80"/>
        <v>240.46891559211613</v>
      </c>
      <c r="AA48" s="63">
        <f t="shared" si="81"/>
        <v>1397.0310844078838</v>
      </c>
      <c r="AB48" s="47">
        <v>30</v>
      </c>
      <c r="AC48" s="47"/>
      <c r="AD48" s="47">
        <f t="shared" si="82"/>
        <v>30</v>
      </c>
      <c r="AE48" s="146">
        <f t="shared" si="83"/>
        <v>5343.753679824802</v>
      </c>
      <c r="AF48" s="149">
        <f t="shared" si="84"/>
        <v>4759.1797631320887</v>
      </c>
      <c r="AG48" s="49">
        <v>8428</v>
      </c>
      <c r="AH48" s="49"/>
      <c r="AI48" s="49"/>
      <c r="AJ48" s="144">
        <v>2300</v>
      </c>
      <c r="AK48" s="154">
        <f t="shared" si="89"/>
        <v>0.43040906033591853</v>
      </c>
      <c r="AL48" s="155">
        <f t="shared" si="90"/>
        <v>1.321015186344354</v>
      </c>
      <c r="AM48" s="70">
        <f>IFERROR(IF($E$3="Original",IF($AJ48=0,"-",(INDEX('APP 2885'!$G:$G,MATCH($D$2+$AB48-1,'APP 2885'!$A:$A,0))*$U48)/($AJ48+$AF48)),IF($AJ48=0,"-",(INDEX('APP 2885'!$G:$G,MATCH($D$2+$AD48-1,'APP 2885'!$A:$A,0))*$U48)/($AJ48+$AF48))),"N/A")</f>
        <v>2.9156785204560869</v>
      </c>
      <c r="AN48" s="63">
        <f t="shared" si="91"/>
        <v>0.26143253752176809</v>
      </c>
      <c r="AO48" s="63">
        <f t="shared" si="92"/>
        <v>1.1520386635302036</v>
      </c>
      <c r="AP48" s="70">
        <f>IFERROR(IF($E$3="Original",IF($AA48=0,"-",(INDEX('APP 2885'!$E:$E,MATCH($D$2+$AB48-1,'APP 2885'!$A:$A,0))*$U48)/(AA48+AF48)),IF($AA48=0,"-",(INDEX('APP 2885'!$E:$E,MATCH($D$2+$AD48-1,'APP 2885'!$A:$A,0))*$U48)/(AA48+AF48))),"N/A")</f>
        <v>3.0393989415549818</v>
      </c>
    </row>
    <row r="49" spans="2:42" ht="13.5" thickBot="1">
      <c r="B49" s="142" t="str">
        <f t="shared" si="67"/>
        <v>008582-C-Christian Hope Association_</v>
      </c>
      <c r="C49" s="142"/>
      <c r="D49" s="51"/>
      <c r="E49" s="51" t="s">
        <v>626</v>
      </c>
      <c r="F49" s="51"/>
      <c r="G49" s="52" t="s">
        <v>624</v>
      </c>
      <c r="H49" s="52"/>
      <c r="I49" s="52">
        <v>1</v>
      </c>
      <c r="J49" s="67">
        <v>256</v>
      </c>
      <c r="K49" s="53" t="s">
        <v>21</v>
      </c>
      <c r="L49" s="53"/>
      <c r="M49" s="53"/>
      <c r="N49" s="53"/>
      <c r="O49" s="67">
        <v>1</v>
      </c>
      <c r="P49" s="67"/>
      <c r="Q49" s="67"/>
      <c r="R49" s="67"/>
      <c r="S49" s="67"/>
      <c r="T49" s="67"/>
      <c r="U49" s="67">
        <f t="shared" si="78"/>
        <v>256</v>
      </c>
      <c r="V49" s="54">
        <v>6629</v>
      </c>
      <c r="W49" s="54"/>
      <c r="X49" s="54"/>
      <c r="Y49" s="54">
        <f t="shared" si="79"/>
        <v>6629</v>
      </c>
      <c r="Z49" s="54">
        <f t="shared" si="80"/>
        <v>175.88583540451921</v>
      </c>
      <c r="AA49" s="64">
        <f t="shared" si="81"/>
        <v>6453.1141645954804</v>
      </c>
      <c r="AB49" s="52">
        <v>30</v>
      </c>
      <c r="AC49" s="52"/>
      <c r="AD49" s="52">
        <f t="shared" si="82"/>
        <v>30</v>
      </c>
      <c r="AE49" s="147">
        <f t="shared" si="83"/>
        <v>3908.5741201004266</v>
      </c>
      <c r="AF49" s="150">
        <f t="shared" si="84"/>
        <v>3481.0000553194704</v>
      </c>
      <c r="AG49" s="54">
        <v>8428</v>
      </c>
      <c r="AH49" s="54"/>
      <c r="AI49" s="54"/>
      <c r="AJ49" s="145">
        <v>2169</v>
      </c>
      <c r="AK49" s="156">
        <f t="shared" si="89"/>
        <v>0.55493382838657024</v>
      </c>
      <c r="AL49" s="157">
        <f t="shared" si="90"/>
        <v>1.4455399543950058</v>
      </c>
      <c r="AM49" s="71">
        <f>IFERROR(IF($E$3="Original",IF($AJ49=0,"-",(INDEX('APP 2885'!$G:$G,MATCH($D$2+$AB49-1,'APP 2885'!$A:$A,0))*$U49)/($AJ49+$AF49)),IF($AJ49=0,"-",(INDEX('APP 2885'!$G:$G,MATCH($D$2+$AD49-1,'APP 2885'!$A:$A,0))*$U49)/($AJ49+$AF49))),"N/A")</f>
        <v>2.6645099585867493</v>
      </c>
      <c r="AN49" s="64">
        <f t="shared" si="91"/>
        <v>1.6510149139578487</v>
      </c>
      <c r="AO49" s="64">
        <f t="shared" si="92"/>
        <v>2.5416210399662842</v>
      </c>
      <c r="AP49" s="71">
        <f>IFERROR(IF($E$3="Original",IF($AA49=0,"-",(INDEX('APP 2885'!$E:$E,MATCH($D$2+$AB49-1,'APP 2885'!$A:$A,0))*$U49)/(AA49+AF49)),IF($AA49=0,"-",(INDEX('APP 2885'!$E:$E,MATCH($D$2+$AD49-1,'APP 2885'!$A:$A,0))*$U49)/(AA49+AF49))),"N/A")</f>
        <v>1.3776660798379941</v>
      </c>
    </row>
    <row r="50" spans="2:42" ht="15.75" thickBot="1">
      <c r="D50" s="56" t="s">
        <v>0</v>
      </c>
      <c r="E50" s="57"/>
      <c r="F50" s="57"/>
      <c r="G50" s="57"/>
      <c r="H50" s="57"/>
      <c r="I50" s="69">
        <f>SUM(I5:I49)</f>
        <v>153</v>
      </c>
      <c r="J50" s="58"/>
      <c r="K50" s="57"/>
      <c r="L50" s="57"/>
      <c r="M50" s="57"/>
      <c r="N50" s="57"/>
      <c r="O50" s="59"/>
      <c r="P50" s="141"/>
      <c r="Q50" s="141"/>
      <c r="R50" s="141"/>
      <c r="S50" s="141"/>
      <c r="T50" s="141"/>
      <c r="U50" s="69">
        <f>SUM(U5:U49)</f>
        <v>296263.44</v>
      </c>
      <c r="V50" s="60"/>
      <c r="W50" s="60"/>
      <c r="X50" s="60"/>
      <c r="Y50" s="60">
        <f>SUM(Y5:Y49)</f>
        <v>2158292.0282898783</v>
      </c>
      <c r="Z50" s="60"/>
      <c r="AA50" s="199">
        <f>SUM(AA5:AA49)</f>
        <v>2010476.7590154235</v>
      </c>
      <c r="AB50" s="200">
        <f>ROUND(SUMPRODUCT(U5:U49,AB5:AB49)/SUM(U5:U49),0)</f>
        <v>20</v>
      </c>
      <c r="AC50" s="59"/>
      <c r="AD50" s="59">
        <f>ROUND(SUMPRODUCT(U5:U49,AD5:AD49)/SUM(U5:U49),0)</f>
        <v>22</v>
      </c>
      <c r="AE50" s="148">
        <f>SUM(AE5:AE49)</f>
        <v>3307143.4325718647</v>
      </c>
      <c r="AF50" s="151">
        <f>SUM(AF5:AF49)</f>
        <v>1351913</v>
      </c>
      <c r="AG50" s="57"/>
      <c r="AH50" s="57"/>
      <c r="AI50" s="57"/>
      <c r="AJ50" s="153">
        <f>SUM(AJ5:AJ42,AJ44:AJ49)</f>
        <v>1471966.0984261567</v>
      </c>
      <c r="AK50" s="160">
        <f>AJ50/AE50</f>
        <v>0.4450868637655227</v>
      </c>
      <c r="AL50" s="161">
        <f>(AJ50+AF50)/AE50</f>
        <v>0.85387258097545282</v>
      </c>
      <c r="AM50" s="61">
        <f>IFERROR(IF($E$3="Original",IF($AJ50=0,"-",(INDEX('APP 2885'!$G:$G,MATCH($D$2+$AB50-1,'APP 2885'!$A:$A,0))*$U50)/($AJ50+$AF50)),IF($AJ50=0,"-",(INDEX('APP 2885'!$G:$G,MATCH($D$2+$AD50-1,'APP 2885'!$A:$A,0))*$U50)/($AJ50+$AF50))),"N/A")</f>
        <v>4.6148224927469039</v>
      </c>
      <c r="AN50" s="62">
        <f>(AA50)/AE50</f>
        <v>0.6079194325877596</v>
      </c>
      <c r="AO50" s="62">
        <f>(AA50+AF50)/AE50</f>
        <v>1.0167051497976896</v>
      </c>
      <c r="AP50" s="61">
        <f>IFERROR(IF($E$3="Original",IF($AA50=0,"-",(INDEX('APP 2885'!$E:$E,MATCH($D$2+$AB50-1,'APP 2885'!$A:$A,0))*$U50)/(AA50+AF50)),IF($AA50=0,"-",(INDEX('APP 2885'!$E:$E,MATCH($D$2+$AD50-1,'APP 2885'!$A:$A,0))*$U50)/(AA50+AF50))),"N/A")</f>
        <v>3.5233871021410961</v>
      </c>
    </row>
    <row r="51" spans="2:42" ht="15.75" thickBot="1">
      <c r="S51" s="197" t="s">
        <v>830</v>
      </c>
      <c r="U51" s="198">
        <f>U50+'2025'!T50</f>
        <v>669853.24</v>
      </c>
      <c r="V51" s="2"/>
      <c r="W51" s="2"/>
      <c r="X51" s="2"/>
      <c r="Y51" s="2"/>
      <c r="Z51" s="2"/>
      <c r="AA51" s="2"/>
      <c r="AB51" s="19"/>
      <c r="AC51" s="19"/>
      <c r="AD51" s="19"/>
      <c r="AE51" s="20"/>
      <c r="AJ51" s="43"/>
      <c r="AK51" s="21"/>
      <c r="AM51" s="22"/>
      <c r="AN51" s="23"/>
      <c r="AO51" s="23"/>
    </row>
    <row r="52" spans="2:42" ht="15.75" thickBot="1">
      <c r="D52" s="140" t="s">
        <v>3</v>
      </c>
      <c r="E52" s="73">
        <f>'APP 2885'!E59</f>
        <v>5.0599999999999999E-2</v>
      </c>
      <c r="G52" s="24"/>
      <c r="H52" s="24"/>
      <c r="J52" s="25"/>
      <c r="K52" s="26"/>
      <c r="L52" s="26"/>
      <c r="M52" s="26"/>
      <c r="N52" s="26"/>
      <c r="O52" s="25"/>
      <c r="P52" s="25"/>
      <c r="Q52" s="25"/>
      <c r="R52" s="25"/>
      <c r="S52" s="25"/>
      <c r="T52" s="25"/>
      <c r="U52" s="19"/>
      <c r="V52" s="19"/>
      <c r="W52" s="19"/>
      <c r="X52" s="19"/>
      <c r="Y52" s="19"/>
      <c r="Z52" s="25"/>
      <c r="AA52" s="27"/>
      <c r="AB52" s="19"/>
      <c r="AC52" s="19"/>
      <c r="AD52" s="19"/>
      <c r="AE52" s="28"/>
      <c r="AF52" s="28"/>
      <c r="AJ52" s="44"/>
      <c r="AK52" s="29"/>
      <c r="AL52" s="30"/>
      <c r="AM52" s="31"/>
      <c r="AN52" s="25"/>
      <c r="AO52" s="25"/>
      <c r="AP52" s="25"/>
    </row>
    <row r="53" spans="2:42" ht="15.75" thickBot="1">
      <c r="D53" s="140" t="s">
        <v>4</v>
      </c>
      <c r="E53" s="73">
        <f>'APP 2885'!E61</f>
        <v>0.02</v>
      </c>
      <c r="G53" s="24"/>
      <c r="H53" s="24"/>
      <c r="I53" s="32"/>
      <c r="J53" s="1"/>
      <c r="K53" s="25"/>
      <c r="L53" s="25"/>
      <c r="M53" s="25"/>
      <c r="N53" s="25"/>
      <c r="O53" s="13"/>
      <c r="P53" s="13"/>
      <c r="Q53" s="13"/>
      <c r="R53" s="13"/>
      <c r="S53" s="13"/>
      <c r="T53" s="13"/>
      <c r="U53" s="13"/>
      <c r="AE53" s="33"/>
      <c r="AJ53" s="44"/>
    </row>
    <row r="54" spans="2:42" ht="15.75" thickBot="1">
      <c r="D54" s="140" t="s">
        <v>5</v>
      </c>
      <c r="E54" s="73">
        <f>'APP 2885'!E58</f>
        <v>5.0599999999999999E-2</v>
      </c>
      <c r="G54" s="24"/>
      <c r="H54" s="24"/>
      <c r="J54" s="1"/>
      <c r="K54" s="25"/>
      <c r="L54" s="25"/>
      <c r="M54" s="25"/>
      <c r="N54" s="25"/>
      <c r="O54" s="13"/>
      <c r="P54" s="13"/>
      <c r="Q54" s="13"/>
      <c r="R54" s="13"/>
      <c r="S54" s="13"/>
      <c r="T54" s="13"/>
      <c r="U54" s="13"/>
    </row>
    <row r="55" spans="2:42" ht="15.75" thickBot="1">
      <c r="D55" s="140" t="s">
        <v>831</v>
      </c>
      <c r="E55" s="74">
        <v>1351913</v>
      </c>
      <c r="G55" s="24"/>
      <c r="H55" s="24"/>
      <c r="U55" s="13"/>
    </row>
    <row r="56" spans="2:42" ht="15.75" thickBot="1">
      <c r="D56" s="140" t="s">
        <v>832</v>
      </c>
      <c r="E56" s="78">
        <f>E55*0.4</f>
        <v>540765.20000000007</v>
      </c>
      <c r="G56" s="24"/>
      <c r="H56" s="24"/>
      <c r="J56" s="16"/>
      <c r="O56" s="14"/>
      <c r="P56" s="14"/>
      <c r="Q56" s="14"/>
      <c r="R56" s="14"/>
      <c r="S56" s="14"/>
      <c r="T56" s="14"/>
      <c r="U56" s="34"/>
      <c r="V56" s="16"/>
      <c r="W56" s="16"/>
      <c r="X56" s="16"/>
      <c r="Y56" s="16"/>
      <c r="Z56" s="16"/>
      <c r="AA56" s="16"/>
      <c r="AB56" s="16"/>
      <c r="AC56" s="16"/>
      <c r="AD56" s="16"/>
      <c r="AE56" s="16"/>
      <c r="AF56" s="16"/>
      <c r="AG56" s="16"/>
      <c r="AH56" s="16"/>
      <c r="AI56" s="16"/>
      <c r="AJ56" s="35"/>
      <c r="AK56" s="16"/>
      <c r="AL56" s="16"/>
      <c r="AM56" s="16"/>
      <c r="AN56" s="16"/>
      <c r="AO56" s="16"/>
      <c r="AP56" s="16"/>
    </row>
    <row r="57" spans="2:42" ht="15.75" thickBot="1">
      <c r="D57" s="140" t="s">
        <v>833</v>
      </c>
      <c r="E57" s="78">
        <f>E55*0.6</f>
        <v>811147.79999999993</v>
      </c>
      <c r="G57" s="24"/>
      <c r="H57" s="24"/>
      <c r="J57" s="16"/>
      <c r="K57" s="36"/>
      <c r="L57" s="36"/>
      <c r="M57" s="36"/>
      <c r="N57" s="36"/>
      <c r="O57" s="14"/>
      <c r="P57" s="14"/>
      <c r="Q57" s="14"/>
      <c r="R57" s="14"/>
      <c r="S57" s="14"/>
      <c r="T57" s="14"/>
      <c r="U57" s="34"/>
      <c r="V57" s="16"/>
      <c r="W57" s="16"/>
      <c r="X57" s="16"/>
      <c r="Y57" s="16"/>
      <c r="Z57" s="16"/>
      <c r="AA57" s="16"/>
      <c r="AB57" s="16"/>
      <c r="AC57" s="16"/>
      <c r="AD57" s="16"/>
      <c r="AE57" s="16"/>
      <c r="AF57" s="16"/>
      <c r="AG57" s="16"/>
      <c r="AH57" s="16"/>
      <c r="AI57" s="16"/>
      <c r="AJ57" s="35"/>
      <c r="AK57" s="16"/>
      <c r="AL57" s="16"/>
      <c r="AM57" s="16"/>
      <c r="AN57" s="16"/>
      <c r="AO57" s="16"/>
      <c r="AP57" s="16"/>
    </row>
    <row r="58" spans="2:42" ht="16.899999999999999" customHeight="1">
      <c r="E58" s="16"/>
      <c r="G58" s="24"/>
      <c r="H58" s="24"/>
      <c r="J58" s="16"/>
      <c r="O58" s="14"/>
      <c r="P58" s="14"/>
      <c r="Q58" s="14"/>
      <c r="R58" s="14"/>
      <c r="S58" s="14"/>
      <c r="T58" s="14"/>
      <c r="U58" s="34"/>
      <c r="V58" s="16"/>
      <c r="W58" s="16"/>
      <c r="X58" s="16"/>
      <c r="Y58" s="16"/>
      <c r="Z58" s="16"/>
      <c r="AA58" s="16"/>
      <c r="AB58" s="16"/>
      <c r="AC58" s="16"/>
      <c r="AD58" s="16"/>
      <c r="AE58" s="16"/>
      <c r="AF58" s="16"/>
      <c r="AG58" s="16"/>
      <c r="AH58" s="16"/>
      <c r="AI58" s="16"/>
      <c r="AJ58" s="35"/>
      <c r="AK58" s="16"/>
      <c r="AL58" s="16"/>
      <c r="AM58" s="16"/>
      <c r="AN58" s="16"/>
      <c r="AO58" s="16"/>
      <c r="AP58" s="16"/>
    </row>
    <row r="59" spans="2:42" ht="14.45" customHeight="1">
      <c r="D59" s="16"/>
      <c r="E59" s="16"/>
      <c r="G59" s="24"/>
      <c r="H59" s="24"/>
      <c r="J59" s="16"/>
      <c r="K59" s="37"/>
      <c r="L59" s="37"/>
      <c r="M59" s="37"/>
      <c r="N59" s="37"/>
      <c r="O59" s="14"/>
      <c r="P59" s="14"/>
      <c r="Q59" s="14"/>
      <c r="R59" s="14"/>
      <c r="S59" s="14"/>
      <c r="T59" s="14"/>
      <c r="U59" s="34"/>
      <c r="V59" s="16"/>
      <c r="W59" s="16"/>
      <c r="X59" s="16"/>
      <c r="Y59" s="16"/>
      <c r="Z59" s="16"/>
      <c r="AA59" s="16"/>
      <c r="AB59" s="16"/>
      <c r="AC59" s="16"/>
      <c r="AD59" s="16"/>
      <c r="AE59" s="16"/>
      <c r="AF59" s="16"/>
      <c r="AG59" s="16"/>
      <c r="AH59" s="16"/>
      <c r="AI59" s="16"/>
      <c r="AJ59" s="35"/>
      <c r="AK59" s="16"/>
      <c r="AL59" s="16"/>
      <c r="AM59" s="16"/>
      <c r="AN59" s="16"/>
      <c r="AO59" s="16"/>
      <c r="AP59" s="16"/>
    </row>
    <row r="60" spans="2:42" ht="16.899999999999999" customHeight="1">
      <c r="D60" s="16"/>
      <c r="E60" s="38">
        <v>766935</v>
      </c>
      <c r="G60" s="24"/>
      <c r="H60" s="24"/>
      <c r="J60" s="16"/>
      <c r="O60" s="14"/>
      <c r="P60" s="14"/>
      <c r="Q60" s="14"/>
      <c r="R60" s="14"/>
      <c r="S60" s="14"/>
      <c r="T60" s="14"/>
      <c r="U60" s="34"/>
      <c r="V60" s="16"/>
      <c r="W60" s="16"/>
      <c r="X60" s="16"/>
      <c r="Y60" s="16"/>
      <c r="Z60" s="16"/>
      <c r="AA60" s="16"/>
      <c r="AB60" s="16"/>
      <c r="AC60" s="16"/>
      <c r="AD60" s="16"/>
      <c r="AE60" s="16"/>
      <c r="AF60" s="16"/>
      <c r="AG60" s="16"/>
      <c r="AH60" s="16"/>
      <c r="AI60" s="16"/>
      <c r="AJ60" s="35"/>
      <c r="AK60" s="16"/>
      <c r="AL60" s="16"/>
      <c r="AM60" s="16"/>
      <c r="AN60" s="16"/>
      <c r="AO60" s="16"/>
      <c r="AP60" s="16"/>
    </row>
    <row r="61" spans="2:42" ht="14.45" customHeight="1">
      <c r="E61" s="16"/>
      <c r="G61" s="24"/>
      <c r="H61" s="24"/>
      <c r="J61" s="16"/>
      <c r="K61" s="37"/>
      <c r="L61" s="37"/>
      <c r="M61" s="37"/>
      <c r="N61" s="37"/>
      <c r="O61" s="14"/>
      <c r="P61" s="14"/>
      <c r="Q61" s="14"/>
      <c r="R61" s="14"/>
      <c r="S61" s="14"/>
      <c r="T61" s="14"/>
      <c r="U61" s="34"/>
      <c r="V61" s="16"/>
      <c r="W61" s="16"/>
      <c r="X61" s="16"/>
      <c r="Y61" s="16"/>
      <c r="Z61" s="16"/>
      <c r="AA61" s="16"/>
      <c r="AB61" s="16"/>
      <c r="AC61" s="16"/>
      <c r="AD61" s="16"/>
      <c r="AE61" s="16"/>
      <c r="AF61" s="16"/>
      <c r="AG61" s="16"/>
      <c r="AH61" s="16"/>
      <c r="AI61" s="16"/>
      <c r="AJ61" s="35"/>
      <c r="AK61" s="16"/>
      <c r="AL61" s="16"/>
      <c r="AM61" s="16"/>
      <c r="AN61" s="16"/>
      <c r="AO61" s="16"/>
      <c r="AP61" s="16"/>
    </row>
    <row r="62" spans="2:42">
      <c r="E62" s="16"/>
      <c r="J62" s="16"/>
      <c r="O62" s="14"/>
      <c r="P62" s="14"/>
      <c r="Q62" s="14"/>
      <c r="R62" s="14"/>
      <c r="S62" s="14"/>
      <c r="T62" s="14"/>
      <c r="U62" s="34"/>
      <c r="V62" s="16"/>
      <c r="W62" s="16"/>
      <c r="X62" s="16"/>
      <c r="Y62" s="16"/>
      <c r="Z62" s="16"/>
      <c r="AA62" s="16"/>
      <c r="AB62" s="16"/>
      <c r="AC62" s="16"/>
      <c r="AD62" s="16"/>
      <c r="AE62" s="16"/>
      <c r="AF62" s="16"/>
      <c r="AG62" s="16"/>
      <c r="AH62" s="16"/>
      <c r="AI62" s="16"/>
      <c r="AJ62" s="35"/>
      <c r="AK62" s="16"/>
      <c r="AL62" s="16"/>
      <c r="AM62" s="16"/>
      <c r="AN62" s="16"/>
      <c r="AO62" s="16"/>
      <c r="AP62" s="16"/>
    </row>
    <row r="63" spans="2:42" ht="18" customHeight="1">
      <c r="E63" s="42"/>
      <c r="F63" s="36"/>
      <c r="J63" s="16"/>
      <c r="O63" s="14"/>
      <c r="P63" s="14"/>
      <c r="Q63" s="14"/>
      <c r="R63" s="14"/>
      <c r="S63" s="14"/>
      <c r="T63" s="14"/>
      <c r="U63" s="34"/>
      <c r="V63" s="16"/>
      <c r="W63" s="16"/>
      <c r="X63" s="16"/>
      <c r="Y63" s="16"/>
      <c r="Z63" s="16"/>
      <c r="AA63" s="16"/>
      <c r="AB63" s="16"/>
      <c r="AC63" s="16"/>
      <c r="AD63" s="16"/>
      <c r="AE63" s="16"/>
      <c r="AF63" s="16"/>
      <c r="AG63" s="16"/>
      <c r="AH63" s="16"/>
      <c r="AI63" s="16"/>
      <c r="AJ63" s="35"/>
      <c r="AK63" s="39"/>
      <c r="AL63" s="16"/>
      <c r="AM63" s="16"/>
      <c r="AN63" s="16"/>
      <c r="AO63" s="16"/>
      <c r="AP63" s="16"/>
    </row>
    <row r="64" spans="2:42">
      <c r="F64" s="40"/>
      <c r="U64" s="41"/>
    </row>
    <row r="65" spans="6:21">
      <c r="F65" s="37"/>
      <c r="U65" s="41"/>
    </row>
    <row r="66" spans="6:21">
      <c r="U66" s="41"/>
    </row>
    <row r="67" spans="6:21">
      <c r="U67" s="41"/>
    </row>
    <row r="68" spans="6:21">
      <c r="U68" s="41"/>
    </row>
    <row r="69" spans="6:21">
      <c r="U69" s="41"/>
    </row>
  </sheetData>
  <autoFilter ref="B4:AP4" xr:uid="{00000000-0001-0000-0000-000000000000}"/>
  <mergeCells count="2">
    <mergeCell ref="E1:AP1"/>
    <mergeCell ref="E2:AP2"/>
  </mergeCells>
  <phoneticPr fontId="0" type="noConversion"/>
  <dataValidations disablePrompts="1" count="1">
    <dataValidation type="list" allowBlank="1" showInputMessage="1" showErrorMessage="1" sqref="E3" xr:uid="{2F9DE394-5957-4C3E-92A3-76D8C02836DE}">
      <formula1>$AQ$2:$AQ$3</formula1>
    </dataValidation>
  </dataValidations>
  <printOptions horizontalCentered="1" verticalCentered="1"/>
  <pageMargins left="0.25" right="0.02" top="0.73" bottom="0.72" header="0.5" footer="0.5"/>
  <pageSetup paperSize="5" scale="21" orientation="landscape" horizontalDpi="1200" verticalDpi="1200" r:id="rId1"/>
  <headerFooter alignWithMargins="0">
    <oddHeader>&amp;C&amp;c</oddHeader>
    <oddFooter>&amp;C&amp;14Appendix A&amp;R&amp;14Page 3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D6C37-7BA1-4052-B682-580E51F70477}">
  <sheetPr>
    <tabColor theme="4"/>
    <pageSetUpPr fitToPage="1"/>
  </sheetPr>
  <dimension ref="B1:AP69"/>
  <sheetViews>
    <sheetView showGridLines="0" showOutlineSymbols="0" zoomScale="90" zoomScaleNormal="90" workbookViewId="0">
      <pane xSplit="7" ySplit="4" topLeftCell="Z18" activePane="bottomRight" state="frozen"/>
      <selection pane="topRight" activeCell="H1" sqref="H1"/>
      <selection pane="bottomLeft" activeCell="A5" sqref="A5"/>
      <selection pane="bottomRight" activeCell="T36" sqref="T36"/>
    </sheetView>
  </sheetViews>
  <sheetFormatPr defaultColWidth="16.1640625" defaultRowHeight="12.75"/>
  <cols>
    <col min="1" max="1" width="6.1640625" customWidth="1"/>
    <col min="2" max="2" width="6.1640625" hidden="1" customWidth="1"/>
    <col min="3" max="3" width="30.83203125" style="1" customWidth="1"/>
    <col min="4" max="4" width="39.33203125" style="1" customWidth="1" collapsed="1"/>
    <col min="5" max="5" width="32" style="16" customWidth="1"/>
    <col min="6" max="7" width="36" style="16" customWidth="1"/>
    <col min="8" max="8" width="18" style="17" hidden="1" customWidth="1"/>
    <col min="9" max="9" width="17" style="2" customWidth="1"/>
    <col min="10" max="10" width="11.1640625" style="2" bestFit="1" customWidth="1"/>
    <col min="11" max="11" width="17.5" style="2" customWidth="1"/>
    <col min="12" max="12" width="14.6640625" style="2" customWidth="1"/>
    <col min="13" max="13" width="18" style="2" customWidth="1"/>
    <col min="14" max="14" width="13.33203125" style="15" hidden="1" customWidth="1"/>
    <col min="15" max="17" width="16.6640625" style="15" hidden="1" customWidth="1"/>
    <col min="18" max="18" width="18" style="15" hidden="1" customWidth="1"/>
    <col min="19" max="19" width="19.83203125" style="15" customWidth="1"/>
    <col min="20" max="20" width="20.6640625" style="15" customWidth="1"/>
    <col min="21" max="23" width="18.83203125" style="1" customWidth="1"/>
    <col min="24" max="24" width="20.1640625" style="1" customWidth="1"/>
    <col min="25" max="25" width="16" style="1" customWidth="1"/>
    <col min="26" max="26" width="23.1640625" style="1" customWidth="1"/>
    <col min="27" max="27" width="13.5" style="1" customWidth="1"/>
    <col min="28" max="28" width="18.5" style="1" customWidth="1"/>
    <col min="29" max="29" width="18" style="1" customWidth="1"/>
    <col min="30" max="30" width="19.6640625" style="1" customWidth="1"/>
    <col min="31" max="31" width="20" style="2" customWidth="1"/>
    <col min="32" max="32" width="14.33203125" style="2" customWidth="1"/>
    <col min="33" max="33" width="21.33203125" style="2" customWidth="1"/>
    <col min="34" max="34" width="19.83203125" style="2" customWidth="1"/>
    <col min="35" max="35" width="18.6640625" style="18" customWidth="1"/>
    <col min="36" max="36" width="13.83203125" style="2" customWidth="1"/>
    <col min="37" max="37" width="18.83203125" style="2" customWidth="1"/>
    <col min="38" max="38" width="21.1640625" style="2" customWidth="1"/>
    <col min="39" max="39" width="18.33203125" style="2" customWidth="1"/>
    <col min="40" max="40" width="18" style="2" customWidth="1"/>
    <col min="41" max="41" width="23.5" style="1" customWidth="1"/>
    <col min="42" max="42" width="0" hidden="1" customWidth="1"/>
  </cols>
  <sheetData>
    <row r="1" spans="2:42" ht="27.75" customHeight="1" thickBot="1">
      <c r="C1" s="55" t="s">
        <v>22</v>
      </c>
      <c r="D1" s="205" t="s">
        <v>1</v>
      </c>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row>
    <row r="2" spans="2:42" ht="22.5" customHeight="1" thickBot="1">
      <c r="C2" s="55">
        <v>2025</v>
      </c>
      <c r="D2" s="206" t="s">
        <v>20</v>
      </c>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1" t="s">
        <v>800</v>
      </c>
    </row>
    <row r="3" spans="2:42" ht="22.5" customHeight="1" thickBot="1">
      <c r="C3" s="177" t="s">
        <v>798</v>
      </c>
      <c r="D3" s="178" t="s">
        <v>799</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90"/>
      <c r="AP3" s="1" t="s">
        <v>799</v>
      </c>
    </row>
    <row r="4" spans="2:42" ht="51.75" thickBot="1">
      <c r="B4" s="1" t="s">
        <v>665</v>
      </c>
      <c r="C4" s="45" t="s">
        <v>263</v>
      </c>
      <c r="D4" s="45" t="s">
        <v>2</v>
      </c>
      <c r="E4" s="45" t="s">
        <v>7</v>
      </c>
      <c r="F4" s="45" t="s">
        <v>10</v>
      </c>
      <c r="G4" s="45" t="s">
        <v>801</v>
      </c>
      <c r="H4" s="45" t="s">
        <v>824</v>
      </c>
      <c r="I4" s="45" t="s">
        <v>262</v>
      </c>
      <c r="J4" s="45" t="s">
        <v>261</v>
      </c>
      <c r="K4" s="179" t="s">
        <v>803</v>
      </c>
      <c r="L4" s="179" t="s">
        <v>804</v>
      </c>
      <c r="M4" s="45" t="s">
        <v>805</v>
      </c>
      <c r="N4" s="45" t="s">
        <v>823</v>
      </c>
      <c r="O4" s="179" t="s">
        <v>802</v>
      </c>
      <c r="P4" s="179" t="s">
        <v>815</v>
      </c>
      <c r="Q4" s="179" t="s">
        <v>816</v>
      </c>
      <c r="R4" s="45" t="s">
        <v>814</v>
      </c>
      <c r="S4" s="45" t="s">
        <v>817</v>
      </c>
      <c r="T4" s="45" t="s">
        <v>251</v>
      </c>
      <c r="U4" s="45" t="s">
        <v>252</v>
      </c>
      <c r="V4" s="179" t="s">
        <v>806</v>
      </c>
      <c r="W4" s="45" t="s">
        <v>807</v>
      </c>
      <c r="X4" s="45" t="s">
        <v>253</v>
      </c>
      <c r="Y4" s="45" t="s">
        <v>254</v>
      </c>
      <c r="Z4" s="45" t="s">
        <v>255</v>
      </c>
      <c r="AA4" s="45" t="s">
        <v>256</v>
      </c>
      <c r="AB4" s="179" t="s">
        <v>808</v>
      </c>
      <c r="AC4" s="45" t="s">
        <v>809</v>
      </c>
      <c r="AD4" s="45" t="s">
        <v>257</v>
      </c>
      <c r="AE4" s="45" t="s">
        <v>258</v>
      </c>
      <c r="AF4" s="45" t="s">
        <v>259</v>
      </c>
      <c r="AG4" s="179" t="s">
        <v>810</v>
      </c>
      <c r="AH4" s="45" t="s">
        <v>811</v>
      </c>
      <c r="AI4" s="45" t="s">
        <v>260</v>
      </c>
      <c r="AJ4" s="45" t="s">
        <v>250</v>
      </c>
      <c r="AK4" s="45" t="s">
        <v>249</v>
      </c>
      <c r="AL4" s="45" t="s">
        <v>245</v>
      </c>
      <c r="AM4" s="45" t="s">
        <v>246</v>
      </c>
      <c r="AN4" s="45" t="s">
        <v>247</v>
      </c>
      <c r="AO4" s="45" t="s">
        <v>248</v>
      </c>
    </row>
    <row r="5" spans="2:42" ht="13.5" thickBot="1">
      <c r="B5" s="142" t="str">
        <f t="shared" ref="B5:B41" si="0">D5&amp;"_"&amp;F5</f>
        <v>Boiler_Minimum 90% Thermal Efficiency and 300 kBtu/hr input</v>
      </c>
      <c r="C5" s="137" t="s">
        <v>288</v>
      </c>
      <c r="D5" s="137" t="s">
        <v>25</v>
      </c>
      <c r="E5" s="137" t="s">
        <v>68</v>
      </c>
      <c r="F5" s="138" t="s">
        <v>65</v>
      </c>
      <c r="G5" s="138" t="s">
        <v>690</v>
      </c>
      <c r="H5" s="52">
        <f>COUNTIF('All TRC 2022 Measure Data'!$B:$B,C5)</f>
        <v>19</v>
      </c>
      <c r="I5" s="162">
        <v>2.1</v>
      </c>
      <c r="J5" s="53" t="s">
        <v>55</v>
      </c>
      <c r="K5" s="180">
        <f>IFERROR(INDEX('Com Measure Mapping'!$T:$T,MATCH($B5,'Com Measure Mapping'!$B:$B,0)),"N/A")</f>
        <v>1.7758629074935079</v>
      </c>
      <c r="L5" s="181" t="str">
        <f>IFERROR(INDEX('Com Measure Mapping'!$U:$U,MATCH($B5,'Com Measure Mapping'!$B:$B,0)),"N/A")</f>
        <v>kBtu/hr</v>
      </c>
      <c r="M5" s="182">
        <v>1.68</v>
      </c>
      <c r="N5" s="67">
        <f>SUMIF('All TRC 2022 Measure Data'!$B:$B,C5,'All TRC 2022 Measure Data'!$W:$W)</f>
        <v>28696</v>
      </c>
      <c r="O5" s="184">
        <f>IFERROR(INDEX('Com Measure Mapping'!$Y:$Y,MATCH($B5,'Com Measure Mapping'!$B:$B,0)),"N/A")</f>
        <v>38.567084101783841</v>
      </c>
      <c r="P5" s="184">
        <f>IFERROR(INDEX('Com Measure Mapping'!$Z:$Z,MATCH($B5,'Com Measure Mapping'!$B:$B,0)),"N/A")</f>
        <v>40.566939475962272</v>
      </c>
      <c r="Q5" s="185">
        <f t="shared" ref="Q5:Q41" si="1">IFERROR((P5-O5)/O5,"N/A")</f>
        <v>5.185394283115978E-2</v>
      </c>
      <c r="R5" s="186">
        <f>ROUND((N5/(6/12))*0.55,0)</f>
        <v>31566</v>
      </c>
      <c r="S5" s="186">
        <f>ROUND(IFERROR((R5*IF(Q5&gt;50%,(1+(Q5-19.5%)),(1+Q5))),R5),0)</f>
        <v>33203</v>
      </c>
      <c r="T5" s="168">
        <f>IF($D$3="Original",ROUNDDOWN(I5*N5,2),ROUNDDOWN(M5*S5,2))</f>
        <v>55781.04</v>
      </c>
      <c r="U5" s="67"/>
      <c r="V5" s="187">
        <f>IFERROR(INDEX('Com Measure Mapping'!$V:$V,MATCH($B5,'Com Measure Mapping'!$B:$B,0)),"N/A")</f>
        <v>1.3575815899374213</v>
      </c>
      <c r="W5" s="64">
        <v>10.74</v>
      </c>
      <c r="X5" s="64">
        <f>IF($D$3="Original",N5*U5,S5*W5)</f>
        <v>356600.22000000003</v>
      </c>
      <c r="Y5" s="64">
        <f t="shared" ref="Y5:Y42" si="2">IF($D$3="Original",PV($D$54,$AA5,(-0.05*0.9*$I5)),PV($D$54,$AC5,(-0.05*0.9*$M5)))</f>
        <v>1.0591241189104392</v>
      </c>
      <c r="Z5" s="64">
        <f>IF($D$3="Original",MAX(0,N5*(U5-Y5)),MAX(0,S5*(W5-Y5)))</f>
        <v>321434.1218798167</v>
      </c>
      <c r="AA5" s="52">
        <v>25</v>
      </c>
      <c r="AB5" s="189">
        <f>IFERROR(INDEX('Com Measure Mapping'!$W:$W,MATCH($B5,'Com Measure Mapping'!$B:$B,0)),"N/A")</f>
        <v>25</v>
      </c>
      <c r="AC5" s="188">
        <f>IF(AB5="N/A",AA5,AB5)</f>
        <v>25</v>
      </c>
      <c r="AD5" s="147">
        <f t="shared" ref="AD5:AD42" si="3">IF($D$3="Original",PV($D$54,AA5,-T5),PV($D$54,AC5,-T5))</f>
        <v>781468.84711518465</v>
      </c>
      <c r="AE5" s="145">
        <f>$D$57*T5/SUM($T$5:$T$42)</f>
        <v>145717.29941549481</v>
      </c>
      <c r="AF5" s="54">
        <v>10</v>
      </c>
      <c r="AG5" s="191">
        <f>IFERROR(INDEX('Com Measure Mapping'!$X:$X,MATCH($B5,'Com Measure Mapping'!$B:$B,0)),"N/A")</f>
        <v>10.245457087567534</v>
      </c>
      <c r="AH5" s="54">
        <v>10.245457087567534</v>
      </c>
      <c r="AI5" s="145">
        <f>IF($D$3="Original",N5*AF5,S5*AH5)</f>
        <v>340179.91167850484</v>
      </c>
      <c r="AJ5" s="156">
        <f t="shared" ref="AJ5:AJ40" si="4">IF(ISERROR(AI5/AD5),0,AI5/AD5)</f>
        <v>0.43530834649940181</v>
      </c>
      <c r="AK5" s="157">
        <f t="shared" ref="AK5:AK41" si="5">IF(AD5=0,0,(AI5+AE5)/AD5)</f>
        <v>0.62177425611744297</v>
      </c>
      <c r="AL5" s="163">
        <f>IFERROR(IF($D$3="Original",IF($AI5=0,"-",(INDEX('APP 2885'!$G:$G,MATCH($C$2+$AA5-1,'APP 2885'!$A:$A,0))*$T5)/($AI5+$AE5)),IF($AI5=0,"-",(INDEX('APP 2885'!$G:$G,MATCH($C$2+$AC5-1,'APP 2885'!$A:$A,0))*$T5)/($AI5+$AE5))),"N/A")</f>
        <v>5.8460402646950538</v>
      </c>
      <c r="AM5" s="64">
        <f t="shared" ref="AM5:AM41" si="6">IF(ISERROR(Z5/AD5),0,Z5/AD5)</f>
        <v>0.41132045514853249</v>
      </c>
      <c r="AN5" s="64">
        <f t="shared" ref="AN5:AN41" si="7">IF(AD5=0,0,(Z5+AE5)/AD5)</f>
        <v>0.59778636476657365</v>
      </c>
      <c r="AO5" s="163">
        <f>IFERROR(IF($D$3="Original",IF($Z5=0,"-",(INDEX('APP 2885'!$E:$E,MATCH($C$2+$AA5-1,'APP 2885'!$A:$A,0))*$T5)/(Z5+AE5)),IF($Z5=0,"-",(INDEX('APP 2885'!$E:$E,MATCH($C$2+$AC5-1,'APP 2885'!$A:$A,0))*$T5)/(Z5+AE5))),"N/A")</f>
        <v>5.52784489737288</v>
      </c>
    </row>
    <row r="6" spans="2:42" ht="13.5" thickBot="1">
      <c r="B6" s="142" t="str">
        <f t="shared" si="0"/>
        <v>Boiler Steam Trap_Minimum 300 kBtu input and steam pressures at 7psig or greater</v>
      </c>
      <c r="C6" s="135" t="s">
        <v>112</v>
      </c>
      <c r="D6" s="135" t="s">
        <v>84</v>
      </c>
      <c r="E6" s="135" t="s">
        <v>95</v>
      </c>
      <c r="F6" s="136" t="s">
        <v>96</v>
      </c>
      <c r="G6" s="136" t="str">
        <f>F6</f>
        <v>Minimum 300 kBtu input and steam pressures at 7psig or greater</v>
      </c>
      <c r="H6" s="47">
        <f>COUNTIF('All TRC 2022 Measure Data'!$B:$B,C6)</f>
        <v>0</v>
      </c>
      <c r="I6" s="164">
        <v>136.9</v>
      </c>
      <c r="J6" s="48" t="s">
        <v>21</v>
      </c>
      <c r="K6" s="164">
        <f>IFERROR(INDEX('Com Measure Mapping'!$T:$T,MATCH($B6,'Com Measure Mapping'!$B:$B,0)),"N/A")</f>
        <v>137.44617346101299</v>
      </c>
      <c r="L6" s="66" t="str">
        <f>IFERROR(INDEX('Com Measure Mapping'!$U:$U,MATCH($B6,'Com Measure Mapping'!$B:$B,0)),"N/A")</f>
        <v>BoilerCtrl</v>
      </c>
      <c r="M6" s="183">
        <f t="shared" ref="M6:M42" si="8">IF(K6="N/A",I6,K6)</f>
        <v>137.44617346101299</v>
      </c>
      <c r="N6" s="66">
        <f>SUMIF('All TRC 2022 Measure Data'!$B:$B,C6,'All TRC 2022 Measure Data'!$W:$W)</f>
        <v>0</v>
      </c>
      <c r="O6" s="165">
        <f>IFERROR(INDEX('Com Measure Mapping'!$Y:$Y,MATCH($B6,'Com Measure Mapping'!$B:$B,0)),"N/A")</f>
        <v>40.228135201444978</v>
      </c>
      <c r="P6" s="165">
        <f>IFERROR(INDEX('Com Measure Mapping'!$Z:$Z,MATCH($B6,'Com Measure Mapping'!$B:$B,0)),"N/A")</f>
        <v>39.423572497416075</v>
      </c>
      <c r="Q6" s="167">
        <f t="shared" si="1"/>
        <v>-2.0000000000000094E-2</v>
      </c>
      <c r="R6" s="166">
        <f>ROUND((O6*10%)*0.55,0)</f>
        <v>2</v>
      </c>
      <c r="S6" s="166">
        <f t="shared" ref="S6:S42" si="9">ROUND(IFERROR((R6*IF(Q6&gt;50%,(1+(Q6-19.5%)),(1+Q6))),R6),0)</f>
        <v>2</v>
      </c>
      <c r="T6" s="192">
        <f t="shared" ref="T6:T42" si="10">IF($D$3="Original",ROUNDDOWN(I6*N6,2),ROUNDDOWN(M6*S6,2))</f>
        <v>274.89</v>
      </c>
      <c r="U6" s="66"/>
      <c r="V6" s="143">
        <f>IFERROR(INDEX('Com Measure Mapping'!$V:$V,MATCH($B6,'Com Measure Mapping'!$B:$B,0)),"N/A")</f>
        <v>75.61</v>
      </c>
      <c r="W6" s="63">
        <v>315</v>
      </c>
      <c r="X6" s="63">
        <f t="shared" ref="X6:X41" si="11">IF($D$3="Original",N6*U6,S6*W6)</f>
        <v>630</v>
      </c>
      <c r="Y6" s="63">
        <f t="shared" si="2"/>
        <v>31.333402113970635</v>
      </c>
      <c r="Z6" s="63">
        <f t="shared" ref="Z6:Z41" si="12">IF($D$3="Original",MAX(0,N6*(U6-Y6)),MAX(0,S6*(W6-Y6)))</f>
        <v>567.33319577205873</v>
      </c>
      <c r="AA6" s="47">
        <v>7</v>
      </c>
      <c r="AB6" s="47">
        <f>IFERROR(INDEX('Com Measure Mapping'!$W:$W,MATCH($B6,'Com Measure Mapping'!$B:$B,0)),"N/A")</f>
        <v>6</v>
      </c>
      <c r="AC6" s="190">
        <f t="shared" ref="AC6:AC42" si="13">IF(AB6="N/A",AA6,AB6)</f>
        <v>6</v>
      </c>
      <c r="AD6" s="146">
        <f t="shared" si="3"/>
        <v>1392.5837600794898</v>
      </c>
      <c r="AE6" s="144">
        <f t="shared" ref="AE6:AE42" si="14">$D$57*T6/SUM($T$5:$T$42)</f>
        <v>718.09755494564763</v>
      </c>
      <c r="AF6" s="49">
        <v>125</v>
      </c>
      <c r="AG6" s="49">
        <f>IFERROR(INDEX('Com Measure Mapping'!$X:$X,MATCH($B6,'Com Measure Mapping'!$B:$B,0)),"N/A")</f>
        <v>69.732542222222222</v>
      </c>
      <c r="AH6" s="49">
        <v>125</v>
      </c>
      <c r="AI6" s="144">
        <f t="shared" ref="AI6:AI41" si="15">IF($D$3="Original",N6*AF6,S6*AH6)</f>
        <v>250</v>
      </c>
      <c r="AJ6" s="154">
        <f t="shared" si="4"/>
        <v>0.17952241521596504</v>
      </c>
      <c r="AK6" s="155">
        <f t="shared" si="5"/>
        <v>0.6951808449140523</v>
      </c>
      <c r="AL6" s="70">
        <f>IFERROR(IF($D$3="Original",IF($AI6=0,"-",(INDEX('APP 2885'!$G:$G,MATCH($C$2+$AA6-1,'APP 2885'!$A:$A,0))*$T6)/($AI6+$AE6)),IF($AI6=0,"-",(INDEX('APP 2885'!$G:$G,MATCH($C$2+$AC6-1,'APP 2885'!$A:$A,0))*$T6)/($AI6+$AE6))),"N/A")</f>
        <v>3.2527303689777591</v>
      </c>
      <c r="AM6" s="63">
        <f t="shared" si="6"/>
        <v>0.40739610214876759</v>
      </c>
      <c r="AN6" s="63">
        <f t="shared" si="7"/>
        <v>0.92305453184685493</v>
      </c>
      <c r="AO6" s="70">
        <f>IFERROR(IF($D$3="Original",IF($Z6=0,"-",(INDEX('APP 2885'!$E:$E,MATCH($C$2+$AA6-1,'APP 2885'!$A:$A,0))*$T6)/(Z6+AE6)),IF($Z6=0,"-",(INDEX('APP 2885'!$E:$E,MATCH($C$2+$AC6-1,'APP 2885'!$A:$A,0))*$T6)/(Z6+AE6))),"N/A")</f>
        <v>2.2270287184040587</v>
      </c>
    </row>
    <row r="7" spans="2:42" ht="13.5" thickBot="1">
      <c r="B7" s="142" t="str">
        <f t="shared" si="0"/>
        <v>Bonus - HVAC_</v>
      </c>
      <c r="C7" s="137" t="s">
        <v>302</v>
      </c>
      <c r="D7" s="137" t="s">
        <v>212</v>
      </c>
      <c r="E7" s="137" t="s">
        <v>213</v>
      </c>
      <c r="F7" s="138" t="s">
        <v>173</v>
      </c>
      <c r="G7" s="138" t="str">
        <f t="shared" ref="G7:G42" si="16">F7</f>
        <v/>
      </c>
      <c r="H7" s="52">
        <f>COUNTIF('All TRC 2022 Measure Data'!$B:$B,C7)</f>
        <v>0</v>
      </c>
      <c r="I7" s="162"/>
      <c r="J7" s="53" t="s">
        <v>173</v>
      </c>
      <c r="K7" s="180" t="str">
        <f>IFERROR(INDEX('Com Measure Mapping'!$T:$T,MATCH($B7,'Com Measure Mapping'!$B:$B,0)),"N/A")</f>
        <v>N/A</v>
      </c>
      <c r="L7" s="181" t="str">
        <f>IFERROR(INDEX('Com Measure Mapping'!$U:$U,MATCH($B7,'Com Measure Mapping'!$B:$B,0)),"N/A")</f>
        <v>N/A</v>
      </c>
      <c r="M7" s="182">
        <f t="shared" si="8"/>
        <v>0</v>
      </c>
      <c r="N7" s="67">
        <f>SUMIF('All TRC 2022 Measure Data'!$B:$B,C7,'All TRC 2022 Measure Data'!$W:$W)</f>
        <v>0</v>
      </c>
      <c r="O7" s="184" t="str">
        <f>IFERROR(INDEX('Com Measure Mapping'!$Y:$Y,MATCH($B7,'Com Measure Mapping'!$B:$B,0)),"N/A")</f>
        <v>N/A</v>
      </c>
      <c r="P7" s="184" t="str">
        <f>IFERROR(INDEX('Com Measure Mapping'!$Z:$Z,MATCH($B7,'Com Measure Mapping'!$B:$B,0)),"N/A")</f>
        <v>N/A</v>
      </c>
      <c r="Q7" s="185" t="str">
        <f t="shared" si="1"/>
        <v>N/A</v>
      </c>
      <c r="R7" s="186">
        <f t="shared" ref="R7:R12" si="17">ROUND((N7/(6/12))*0.55,0)</f>
        <v>0</v>
      </c>
      <c r="S7" s="186">
        <f t="shared" si="9"/>
        <v>0</v>
      </c>
      <c r="T7" s="168">
        <f t="shared" si="10"/>
        <v>0</v>
      </c>
      <c r="U7" s="67"/>
      <c r="V7" s="187" t="str">
        <f>IFERROR(INDEX('Com Measure Mapping'!$V:$V,MATCH($B7,'Com Measure Mapping'!$B:$B,0)),"N/A")</f>
        <v>N/A</v>
      </c>
      <c r="W7" s="64">
        <v>0</v>
      </c>
      <c r="X7" s="64">
        <f t="shared" si="11"/>
        <v>0</v>
      </c>
      <c r="Y7" s="64">
        <f t="shared" si="2"/>
        <v>0</v>
      </c>
      <c r="Z7" s="64">
        <f t="shared" si="12"/>
        <v>0</v>
      </c>
      <c r="AA7" s="52">
        <v>0</v>
      </c>
      <c r="AB7" s="189" t="str">
        <f>IFERROR(INDEX('Com Measure Mapping'!$W:$W,MATCH($B7,'Com Measure Mapping'!$B:$B,0)),"N/A")</f>
        <v>N/A</v>
      </c>
      <c r="AC7" s="188">
        <f t="shared" si="13"/>
        <v>0</v>
      </c>
      <c r="AD7" s="147">
        <f t="shared" si="3"/>
        <v>0</v>
      </c>
      <c r="AE7" s="145">
        <f t="shared" si="14"/>
        <v>0</v>
      </c>
      <c r="AF7" s="54">
        <v>100</v>
      </c>
      <c r="AG7" s="191" t="str">
        <f>IFERROR(INDEX('Com Measure Mapping'!$X:$X,MATCH($B7,'Com Measure Mapping'!$B:$B,0)),"N/A")</f>
        <v>N/A</v>
      </c>
      <c r="AH7" s="54">
        <v>100</v>
      </c>
      <c r="AI7" s="145">
        <f t="shared" si="15"/>
        <v>0</v>
      </c>
      <c r="AJ7" s="156">
        <f t="shared" si="4"/>
        <v>0</v>
      </c>
      <c r="AK7" s="157">
        <f t="shared" si="5"/>
        <v>0</v>
      </c>
      <c r="AL7" s="163" t="str">
        <f>IFERROR(IF($D$3="Original",IF($AI7=0,"-",(INDEX('APP 2885'!$G:$G,MATCH($C$2+$AA7-1,'APP 2885'!$A:$A,0))*$T7)/($AI7+$AE7)),IF($AI7=0,"-",(INDEX('APP 2885'!$G:$G,MATCH($C$2+$AC7-1,'APP 2885'!$A:$A,0))*$T7)/($AI7+$AE7))),"N/A")</f>
        <v>-</v>
      </c>
      <c r="AM7" s="64">
        <f t="shared" si="6"/>
        <v>0</v>
      </c>
      <c r="AN7" s="64">
        <f t="shared" si="7"/>
        <v>0</v>
      </c>
      <c r="AO7" s="163" t="str">
        <f>IFERROR(IF($D$3="Original",IF($Z7=0,"-",(INDEX('APP 2885'!$E:$E,MATCH($C$2+$AA7-1,'APP 2885'!$A:$A,0))*$T7)/(Z7+AE7)),IF($Z7=0,"-",(INDEX('APP 2885'!$E:$E,MATCH($C$2+$AC7-1,'APP 2885'!$A:$A,0))*$T7)/(Z7+AE7))),"N/A")</f>
        <v>-</v>
      </c>
    </row>
    <row r="8" spans="2:42" ht="13.5" thickBot="1">
      <c r="B8" s="142" t="str">
        <f t="shared" si="0"/>
        <v>Bonus - Insulation Bundle A_Two Insulation Measures, min. 1000 sq. ft.+</v>
      </c>
      <c r="C8" s="135" t="s">
        <v>198</v>
      </c>
      <c r="D8" s="135" t="s">
        <v>32</v>
      </c>
      <c r="E8" s="135" t="s">
        <v>33</v>
      </c>
      <c r="F8" s="136" t="s">
        <v>34</v>
      </c>
      <c r="G8" s="136" t="str">
        <f t="shared" si="16"/>
        <v>Two Insulation Measures, min. 1000 sq. ft.+</v>
      </c>
      <c r="H8" s="47">
        <f>COUNTIF('All TRC 2022 Measure Data'!$B:$B,C8)</f>
        <v>3</v>
      </c>
      <c r="I8" s="164"/>
      <c r="J8" s="48" t="s">
        <v>21</v>
      </c>
      <c r="K8" s="164" t="str">
        <f>IFERROR(INDEX('Com Measure Mapping'!$T:$T,MATCH($B8,'Com Measure Mapping'!$B:$B,0)),"N/A")</f>
        <v>N/A</v>
      </c>
      <c r="L8" s="66" t="str">
        <f>IFERROR(INDEX('Com Measure Mapping'!$U:$U,MATCH($B8,'Com Measure Mapping'!$B:$B,0)),"N/A")</f>
        <v>N/A</v>
      </c>
      <c r="M8" s="183">
        <f t="shared" si="8"/>
        <v>0</v>
      </c>
      <c r="N8" s="66">
        <f>SUMIF('All TRC 2022 Measure Data'!$B:$B,C8,'All TRC 2022 Measure Data'!$W:$W)</f>
        <v>3</v>
      </c>
      <c r="O8" s="165" t="str">
        <f>IFERROR(INDEX('Com Measure Mapping'!$Y:$Y,MATCH($B8,'Com Measure Mapping'!$B:$B,0)),"N/A")</f>
        <v>N/A</v>
      </c>
      <c r="P8" s="165" t="str">
        <f>IFERROR(INDEX('Com Measure Mapping'!$Z:$Z,MATCH($B8,'Com Measure Mapping'!$B:$B,0)),"N/A")</f>
        <v>N/A</v>
      </c>
      <c r="Q8" s="167" t="str">
        <f t="shared" si="1"/>
        <v>N/A</v>
      </c>
      <c r="R8" s="166">
        <f t="shared" si="17"/>
        <v>3</v>
      </c>
      <c r="S8" s="166">
        <f t="shared" si="9"/>
        <v>3</v>
      </c>
      <c r="T8" s="192">
        <f t="shared" si="10"/>
        <v>0</v>
      </c>
      <c r="U8" s="66"/>
      <c r="V8" s="143" t="str">
        <f>IFERROR(INDEX('Com Measure Mapping'!$V:$V,MATCH($B8,'Com Measure Mapping'!$B:$B,0)),"N/A")</f>
        <v>N/A</v>
      </c>
      <c r="W8" s="63">
        <v>0</v>
      </c>
      <c r="X8" s="63">
        <f t="shared" si="11"/>
        <v>0</v>
      </c>
      <c r="Y8" s="63">
        <f t="shared" si="2"/>
        <v>0</v>
      </c>
      <c r="Z8" s="63">
        <f t="shared" si="12"/>
        <v>0</v>
      </c>
      <c r="AA8" s="47"/>
      <c r="AB8" s="47" t="str">
        <f>IFERROR(INDEX('Com Measure Mapping'!$W:$W,MATCH($B8,'Com Measure Mapping'!$B:$B,0)),"N/A")</f>
        <v>N/A</v>
      </c>
      <c r="AC8" s="190">
        <f t="shared" si="13"/>
        <v>0</v>
      </c>
      <c r="AD8" s="146">
        <f t="shared" si="3"/>
        <v>0</v>
      </c>
      <c r="AE8" s="144">
        <f t="shared" si="14"/>
        <v>0</v>
      </c>
      <c r="AF8" s="49">
        <v>500</v>
      </c>
      <c r="AG8" s="49" t="str">
        <f>IFERROR(INDEX('Com Measure Mapping'!$X:$X,MATCH($B8,'Com Measure Mapping'!$B:$B,0)),"N/A")</f>
        <v>N/A</v>
      </c>
      <c r="AH8" s="49">
        <v>500</v>
      </c>
      <c r="AI8" s="144">
        <f t="shared" si="15"/>
        <v>1500</v>
      </c>
      <c r="AJ8" s="154">
        <f t="shared" si="4"/>
        <v>0</v>
      </c>
      <c r="AK8" s="155">
        <f t="shared" si="5"/>
        <v>0</v>
      </c>
      <c r="AL8" s="70">
        <f>IFERROR(IF($D$3="Original",IF($AI8=0,"-",(INDEX('APP 2885'!$G:$G,MATCH($C$2+$AA8-1,'APP 2885'!$A:$A,0))*$T8)/($AI8+$AE8)),IF($AI8=0,"-",(INDEX('APP 2885'!$G:$G,MATCH($C$2+$AC8-1,'APP 2885'!$A:$A,0))*$T8)/($AI8+$AE8))),"N/A")</f>
        <v>0</v>
      </c>
      <c r="AM8" s="63">
        <f t="shared" si="6"/>
        <v>0</v>
      </c>
      <c r="AN8" s="63">
        <f t="shared" si="7"/>
        <v>0</v>
      </c>
      <c r="AO8" s="70" t="str">
        <f>IFERROR(IF($D$3="Original",IF($Z8=0,"-",(INDEX('APP 2885'!$E:$E,MATCH($C$2+$AA8-1,'APP 2885'!$A:$A,0))*$T8)/(Z8+AE8)),IF($Z8=0,"-",(INDEX('APP 2885'!$E:$E,MATCH($C$2+$AC8-1,'APP 2885'!$A:$A,0))*$T8)/(Z8+AE8))),"N/A")</f>
        <v>-</v>
      </c>
    </row>
    <row r="9" spans="2:42" ht="13.5" thickBot="1">
      <c r="B9" s="142" t="str">
        <f t="shared" si="0"/>
        <v>Bonus - Kitchen Bundle B (2 - measures)_Any 2 Kitchen equipment measures</v>
      </c>
      <c r="C9" s="137" t="s">
        <v>167</v>
      </c>
      <c r="D9" s="137" t="s">
        <v>38</v>
      </c>
      <c r="E9" s="137" t="s">
        <v>39</v>
      </c>
      <c r="F9" s="138" t="s">
        <v>40</v>
      </c>
      <c r="G9" s="138" t="str">
        <f t="shared" si="16"/>
        <v>Any 2 Kitchen equipment measures</v>
      </c>
      <c r="H9" s="52">
        <f>COUNTIF('All TRC 2022 Measure Data'!$B:$B,C9)</f>
        <v>1</v>
      </c>
      <c r="I9" s="162"/>
      <c r="J9" s="53" t="s">
        <v>21</v>
      </c>
      <c r="K9" s="180" t="str">
        <f>IFERROR(INDEX('Com Measure Mapping'!$T:$T,MATCH($B9,'Com Measure Mapping'!$B:$B,0)),"N/A")</f>
        <v>N/A</v>
      </c>
      <c r="L9" s="181" t="str">
        <f>IFERROR(INDEX('Com Measure Mapping'!$U:$U,MATCH($B9,'Com Measure Mapping'!$B:$B,0)),"N/A")</f>
        <v>N/A</v>
      </c>
      <c r="M9" s="182">
        <f t="shared" si="8"/>
        <v>0</v>
      </c>
      <c r="N9" s="67">
        <f>SUMIF('All TRC 2022 Measure Data'!$B:$B,C9,'All TRC 2022 Measure Data'!$W:$W)</f>
        <v>1</v>
      </c>
      <c r="O9" s="184" t="str">
        <f>IFERROR(INDEX('Com Measure Mapping'!$Y:$Y,MATCH($B9,'Com Measure Mapping'!$B:$B,0)),"N/A")</f>
        <v>N/A</v>
      </c>
      <c r="P9" s="184" t="str">
        <f>IFERROR(INDEX('Com Measure Mapping'!$Z:$Z,MATCH($B9,'Com Measure Mapping'!$B:$B,0)),"N/A")</f>
        <v>N/A</v>
      </c>
      <c r="Q9" s="185" t="str">
        <f t="shared" si="1"/>
        <v>N/A</v>
      </c>
      <c r="R9" s="186">
        <f t="shared" si="17"/>
        <v>1</v>
      </c>
      <c r="S9" s="186">
        <f t="shared" si="9"/>
        <v>1</v>
      </c>
      <c r="T9" s="168">
        <f t="shared" si="10"/>
        <v>0</v>
      </c>
      <c r="U9" s="67"/>
      <c r="V9" s="187" t="str">
        <f>IFERROR(INDEX('Com Measure Mapping'!$V:$V,MATCH($B9,'Com Measure Mapping'!$B:$B,0)),"N/A")</f>
        <v>N/A</v>
      </c>
      <c r="W9" s="64">
        <v>0</v>
      </c>
      <c r="X9" s="64">
        <f t="shared" si="11"/>
        <v>0</v>
      </c>
      <c r="Y9" s="64">
        <f t="shared" si="2"/>
        <v>0</v>
      </c>
      <c r="Z9" s="64">
        <f t="shared" si="12"/>
        <v>0</v>
      </c>
      <c r="AA9" s="52"/>
      <c r="AB9" s="189" t="str">
        <f>IFERROR(INDEX('Com Measure Mapping'!$W:$W,MATCH($B9,'Com Measure Mapping'!$B:$B,0)),"N/A")</f>
        <v>N/A</v>
      </c>
      <c r="AC9" s="188">
        <f t="shared" si="13"/>
        <v>0</v>
      </c>
      <c r="AD9" s="147">
        <f t="shared" si="3"/>
        <v>0</v>
      </c>
      <c r="AE9" s="145">
        <f t="shared" si="14"/>
        <v>0</v>
      </c>
      <c r="AF9" s="54">
        <v>300</v>
      </c>
      <c r="AG9" s="191" t="str">
        <f>IFERROR(INDEX('Com Measure Mapping'!$X:$X,MATCH($B9,'Com Measure Mapping'!$B:$B,0)),"N/A")</f>
        <v>N/A</v>
      </c>
      <c r="AH9" s="54">
        <v>300</v>
      </c>
      <c r="AI9" s="145">
        <f t="shared" si="15"/>
        <v>300</v>
      </c>
      <c r="AJ9" s="156">
        <f t="shared" si="4"/>
        <v>0</v>
      </c>
      <c r="AK9" s="157">
        <f t="shared" si="5"/>
        <v>0</v>
      </c>
      <c r="AL9" s="163">
        <f>IFERROR(IF($D$3="Original",IF($AI9=0,"-",(INDEX('APP 2885'!$G:$G,MATCH($C$2+$AA9-1,'APP 2885'!$A:$A,0))*$T9)/($AI9+$AE9)),IF($AI9=0,"-",(INDEX('APP 2885'!$G:$G,MATCH($C$2+$AC9-1,'APP 2885'!$A:$A,0))*$T9)/($AI9+$AE9))),"N/A")</f>
        <v>0</v>
      </c>
      <c r="AM9" s="64">
        <f t="shared" si="6"/>
        <v>0</v>
      </c>
      <c r="AN9" s="64">
        <f t="shared" si="7"/>
        <v>0</v>
      </c>
      <c r="AO9" s="163" t="str">
        <f>IFERROR(IF($D$3="Original",IF($Z9=0,"-",(INDEX('APP 2885'!$E:$E,MATCH($C$2+$AA9-1,'APP 2885'!$A:$A,0))*$T9)/(Z9+AE9)),IF($Z9=0,"-",(INDEX('APP 2885'!$E:$E,MATCH($C$2+$AC9-1,'APP 2885'!$A:$A,0))*$T9)/(Z9+AE9))),"N/A")</f>
        <v>-</v>
      </c>
    </row>
    <row r="10" spans="2:42" ht="13.5" thickBot="1">
      <c r="B10" s="142" t="str">
        <f t="shared" si="0"/>
        <v>Bonus - Kitchen Bundle C (3 or more measures)_Any 3 Kitchen equipment measures</v>
      </c>
      <c r="C10" s="135" t="s">
        <v>189</v>
      </c>
      <c r="D10" s="135" t="s">
        <v>35</v>
      </c>
      <c r="E10" s="135" t="s">
        <v>36</v>
      </c>
      <c r="F10" s="136" t="s">
        <v>37</v>
      </c>
      <c r="G10" s="136" t="str">
        <f t="shared" si="16"/>
        <v>Any 3 Kitchen equipment measures</v>
      </c>
      <c r="H10" s="47">
        <f>COUNTIF('All TRC 2022 Measure Data'!$B:$B,C10)</f>
        <v>1</v>
      </c>
      <c r="I10" s="164"/>
      <c r="J10" s="48" t="s">
        <v>21</v>
      </c>
      <c r="K10" s="164" t="str">
        <f>IFERROR(INDEX('Com Measure Mapping'!$T:$T,MATCH($B10,'Com Measure Mapping'!$B:$B,0)),"N/A")</f>
        <v>N/A</v>
      </c>
      <c r="L10" s="66" t="str">
        <f>IFERROR(INDEX('Com Measure Mapping'!$U:$U,MATCH($B10,'Com Measure Mapping'!$B:$B,0)),"N/A")</f>
        <v>N/A</v>
      </c>
      <c r="M10" s="183">
        <f t="shared" si="8"/>
        <v>0</v>
      </c>
      <c r="N10" s="66">
        <f>SUMIF('All TRC 2022 Measure Data'!$B:$B,C10,'All TRC 2022 Measure Data'!$W:$W)</f>
        <v>1</v>
      </c>
      <c r="O10" s="165" t="str">
        <f>IFERROR(INDEX('Com Measure Mapping'!$Y:$Y,MATCH($B10,'Com Measure Mapping'!$B:$B,0)),"N/A")</f>
        <v>N/A</v>
      </c>
      <c r="P10" s="165" t="str">
        <f>IFERROR(INDEX('Com Measure Mapping'!$Z:$Z,MATCH($B10,'Com Measure Mapping'!$B:$B,0)),"N/A")</f>
        <v>N/A</v>
      </c>
      <c r="Q10" s="167" t="str">
        <f t="shared" si="1"/>
        <v>N/A</v>
      </c>
      <c r="R10" s="166">
        <f t="shared" si="17"/>
        <v>1</v>
      </c>
      <c r="S10" s="166">
        <f t="shared" si="9"/>
        <v>1</v>
      </c>
      <c r="T10" s="192">
        <f t="shared" si="10"/>
        <v>0</v>
      </c>
      <c r="U10" s="66"/>
      <c r="V10" s="143" t="str">
        <f>IFERROR(INDEX('Com Measure Mapping'!$V:$V,MATCH($B10,'Com Measure Mapping'!$B:$B,0)),"N/A")</f>
        <v>N/A</v>
      </c>
      <c r="W10" s="63">
        <v>0</v>
      </c>
      <c r="X10" s="63">
        <f t="shared" si="11"/>
        <v>0</v>
      </c>
      <c r="Y10" s="63">
        <f t="shared" si="2"/>
        <v>0</v>
      </c>
      <c r="Z10" s="63">
        <f t="shared" si="12"/>
        <v>0</v>
      </c>
      <c r="AA10" s="47"/>
      <c r="AB10" s="47" t="str">
        <f>IFERROR(INDEX('Com Measure Mapping'!$W:$W,MATCH($B10,'Com Measure Mapping'!$B:$B,0)),"N/A")</f>
        <v>N/A</v>
      </c>
      <c r="AC10" s="190">
        <f t="shared" si="13"/>
        <v>0</v>
      </c>
      <c r="AD10" s="146">
        <f t="shared" si="3"/>
        <v>0</v>
      </c>
      <c r="AE10" s="144">
        <f t="shared" si="14"/>
        <v>0</v>
      </c>
      <c r="AF10" s="49">
        <v>500</v>
      </c>
      <c r="AG10" s="49" t="str">
        <f>IFERROR(INDEX('Com Measure Mapping'!$X:$X,MATCH($B10,'Com Measure Mapping'!$B:$B,0)),"N/A")</f>
        <v>N/A</v>
      </c>
      <c r="AH10" s="49">
        <v>500</v>
      </c>
      <c r="AI10" s="144">
        <f t="shared" si="15"/>
        <v>500</v>
      </c>
      <c r="AJ10" s="154">
        <f t="shared" si="4"/>
        <v>0</v>
      </c>
      <c r="AK10" s="155">
        <f t="shared" si="5"/>
        <v>0</v>
      </c>
      <c r="AL10" s="70">
        <f>IFERROR(IF($D$3="Original",IF($AI10=0,"-",(INDEX('APP 2885'!$G:$G,MATCH($C$2+$AA10-1,'APP 2885'!$A:$A,0))*$T10)/($AI10+$AE10)),IF($AI10=0,"-",(INDEX('APP 2885'!$G:$G,MATCH($C$2+$AC10-1,'APP 2885'!$A:$A,0))*$T10)/($AI10+$AE10))),"N/A")</f>
        <v>0</v>
      </c>
      <c r="AM10" s="63">
        <f t="shared" si="6"/>
        <v>0</v>
      </c>
      <c r="AN10" s="63">
        <f t="shared" si="7"/>
        <v>0</v>
      </c>
      <c r="AO10" s="70" t="str">
        <f>IFERROR(IF($D$3="Original",IF($Z10=0,"-",(INDEX('APP 2885'!$E:$E,MATCH($C$2+$AA10-1,'APP 2885'!$A:$A,0))*$T10)/(Z10+AE10)),IF($Z10=0,"-",(INDEX('APP 2885'!$E:$E,MATCH($C$2+$AC10-1,'APP 2885'!$A:$A,0))*$T10)/(Z10+AE10))),"N/A")</f>
        <v>-</v>
      </c>
    </row>
    <row r="11" spans="2:42" ht="13.5" thickBot="1">
      <c r="B11" s="142" t="str">
        <f t="shared" si="0"/>
        <v>Bonus - Radiant Bundle D (radiant &amp; insulation)_Any combination of radiant heating and insulation</v>
      </c>
      <c r="C11" s="137" t="s">
        <v>303</v>
      </c>
      <c r="D11" s="137" t="s">
        <v>840</v>
      </c>
      <c r="E11" s="137" t="s">
        <v>841</v>
      </c>
      <c r="F11" s="138" t="s">
        <v>306</v>
      </c>
      <c r="G11" s="138" t="str">
        <f t="shared" si="16"/>
        <v>Any combination of radiant heating and insulation</v>
      </c>
      <c r="H11" s="52">
        <f>COUNTIF('All TRC 2022 Measure Data'!$B:$B,C11)</f>
        <v>1</v>
      </c>
      <c r="I11" s="162"/>
      <c r="J11" s="53" t="s">
        <v>21</v>
      </c>
      <c r="K11" s="180" t="str">
        <f>IFERROR(INDEX('Com Measure Mapping'!$T:$T,MATCH($B11,'Com Measure Mapping'!$B:$B,0)),"N/A")</f>
        <v>N/A</v>
      </c>
      <c r="L11" s="181" t="str">
        <f>IFERROR(INDEX('Com Measure Mapping'!$U:$U,MATCH($B11,'Com Measure Mapping'!$B:$B,0)),"N/A")</f>
        <v>N/A</v>
      </c>
      <c r="M11" s="182">
        <f t="shared" si="8"/>
        <v>0</v>
      </c>
      <c r="N11" s="67">
        <f>SUMIF('All TRC 2022 Measure Data'!$B:$B,C11,'All TRC 2022 Measure Data'!$W:$W)</f>
        <v>1</v>
      </c>
      <c r="O11" s="184" t="str">
        <f>IFERROR(INDEX('Com Measure Mapping'!$Y:$Y,MATCH($B11,'Com Measure Mapping'!$B:$B,0)),"N/A")</f>
        <v>N/A</v>
      </c>
      <c r="P11" s="184" t="str">
        <f>IFERROR(INDEX('Com Measure Mapping'!$Z:$Z,MATCH($B11,'Com Measure Mapping'!$B:$B,0)),"N/A")</f>
        <v>N/A</v>
      </c>
      <c r="Q11" s="185" t="str">
        <f t="shared" si="1"/>
        <v>N/A</v>
      </c>
      <c r="R11" s="186">
        <f t="shared" si="17"/>
        <v>1</v>
      </c>
      <c r="S11" s="186">
        <f t="shared" si="9"/>
        <v>1</v>
      </c>
      <c r="T11" s="168">
        <f t="shared" si="10"/>
        <v>0</v>
      </c>
      <c r="U11" s="67"/>
      <c r="V11" s="187" t="str">
        <f>IFERROR(INDEX('Com Measure Mapping'!$V:$V,MATCH($B11,'Com Measure Mapping'!$B:$B,0)),"N/A")</f>
        <v>N/A</v>
      </c>
      <c r="W11" s="64">
        <v>0</v>
      </c>
      <c r="X11" s="64">
        <f t="shared" si="11"/>
        <v>0</v>
      </c>
      <c r="Y11" s="64">
        <f t="shared" si="2"/>
        <v>0</v>
      </c>
      <c r="Z11" s="64">
        <f t="shared" si="12"/>
        <v>0</v>
      </c>
      <c r="AA11" s="52"/>
      <c r="AB11" s="189" t="str">
        <f>IFERROR(INDEX('Com Measure Mapping'!$W:$W,MATCH($B11,'Com Measure Mapping'!$B:$B,0)),"N/A")</f>
        <v>N/A</v>
      </c>
      <c r="AC11" s="188">
        <f t="shared" si="13"/>
        <v>0</v>
      </c>
      <c r="AD11" s="147">
        <f t="shared" si="3"/>
        <v>0</v>
      </c>
      <c r="AE11" s="145">
        <f t="shared" si="14"/>
        <v>0</v>
      </c>
      <c r="AF11" s="54"/>
      <c r="AG11" s="191" t="str">
        <f>IFERROR(INDEX('Com Measure Mapping'!$X:$X,MATCH($B11,'Com Measure Mapping'!$B:$B,0)),"N/A")</f>
        <v>N/A</v>
      </c>
      <c r="AH11" s="54">
        <v>0</v>
      </c>
      <c r="AI11" s="145">
        <f t="shared" si="15"/>
        <v>0</v>
      </c>
      <c r="AJ11" s="156">
        <f t="shared" si="4"/>
        <v>0</v>
      </c>
      <c r="AK11" s="157">
        <f t="shared" si="5"/>
        <v>0</v>
      </c>
      <c r="AL11" s="163" t="str">
        <f>IFERROR(IF($D$3="Original",IF($AI11=0,"-",(INDEX('APP 2885'!$G:$G,MATCH($C$2+$AA11-1,'APP 2885'!$A:$A,0))*$T11)/($AI11+$AE11)),IF($AI11=0,"-",(INDEX('APP 2885'!$G:$G,MATCH($C$2+$AC11-1,'APP 2885'!$A:$A,0))*$T11)/($AI11+$AE11))),"N/A")</f>
        <v>-</v>
      </c>
      <c r="AM11" s="64">
        <f t="shared" si="6"/>
        <v>0</v>
      </c>
      <c r="AN11" s="64">
        <f t="shared" si="7"/>
        <v>0</v>
      </c>
      <c r="AO11" s="163" t="str">
        <f>IFERROR(IF($D$3="Original",IF($Z11=0,"-",(INDEX('APP 2885'!$E:$E,MATCH($C$2+$AA11-1,'APP 2885'!$A:$A,0))*$T11)/(Z11+AE11)),IF($Z11=0,"-",(INDEX('APP 2885'!$E:$E,MATCH($C$2+$AC11-1,'APP 2885'!$A:$A,0))*$T11)/(Z11+AE11))),"N/A")</f>
        <v>-</v>
      </c>
    </row>
    <row r="12" spans="2:42" ht="13.5" thickBot="1">
      <c r="B12" s="142" t="str">
        <f t="shared" si="0"/>
        <v>Convection Oven (Grocery)_&gt;= 44% Cooking Efficiency,&lt;= 13,000 Btu/hr Idle Rate</v>
      </c>
      <c r="C12" s="135" t="s">
        <v>846</v>
      </c>
      <c r="D12" s="135" t="s">
        <v>85</v>
      </c>
      <c r="E12" s="135" t="s">
        <v>9</v>
      </c>
      <c r="F12" s="136" t="s">
        <v>47</v>
      </c>
      <c r="G12" s="136" t="str">
        <f t="shared" si="16"/>
        <v>&gt;= 44% Cooking Efficiency,&lt;= 13,000 Btu/hr Idle Rate</v>
      </c>
      <c r="H12" s="47">
        <f>COUNTIF('All TRC 2022 Measure Data'!$B:$B,C12)</f>
        <v>0</v>
      </c>
      <c r="I12" s="164">
        <v>368</v>
      </c>
      <c r="J12" s="48" t="s">
        <v>48</v>
      </c>
      <c r="K12" s="164">
        <f>IFERROR(INDEX('Com Measure Mapping'!$T:$T,MATCH($B12,'Com Measure Mapping'!$B:$B,0)),"N/A")</f>
        <v>329.69063227564982</v>
      </c>
      <c r="L12" s="66" t="str">
        <f>IFERROR(INDEX('Com Measure Mapping'!$U:$U,MATCH($B12,'Com Measure Mapping'!$B:$B,0)),"N/A")</f>
        <v>1 unit</v>
      </c>
      <c r="M12" s="183">
        <f>I12</f>
        <v>368</v>
      </c>
      <c r="N12" s="66">
        <f>SUMIF('All TRC 2022 Measure Data'!$B:$B,C12,'All TRC 2022 Measure Data'!$W:$W)</f>
        <v>0</v>
      </c>
      <c r="O12" s="165">
        <f>IFERROR(INDEX('Com Measure Mapping'!$Y:$Y,MATCH($B12,'Com Measure Mapping'!$B:$B,0)),"N/A")</f>
        <v>1.86044292292598</v>
      </c>
      <c r="P12" s="165">
        <f>IFERROR(INDEX('Com Measure Mapping'!$Z:$Z,MATCH($B12,'Com Measure Mapping'!$B:$B,0)),"N/A")</f>
        <v>2.6575532046584049</v>
      </c>
      <c r="Q12" s="167">
        <f t="shared" si="1"/>
        <v>0.42845188740258866</v>
      </c>
      <c r="R12" s="166">
        <f t="shared" si="17"/>
        <v>0</v>
      </c>
      <c r="S12" s="166">
        <f t="shared" si="9"/>
        <v>0</v>
      </c>
      <c r="T12" s="192">
        <f t="shared" si="10"/>
        <v>0</v>
      </c>
      <c r="U12" s="66"/>
      <c r="V12" s="143">
        <f>IFERROR(INDEX('Com Measure Mapping'!$V:$V,MATCH($B12,'Com Measure Mapping'!$B:$B,0)),"N/A")</f>
        <v>760.73</v>
      </c>
      <c r="W12" s="63">
        <v>900</v>
      </c>
      <c r="X12" s="63">
        <f t="shared" si="11"/>
        <v>0</v>
      </c>
      <c r="Y12" s="63">
        <f t="shared" si="2"/>
        <v>137.12179698884464</v>
      </c>
      <c r="Z12" s="63">
        <f t="shared" si="12"/>
        <v>0</v>
      </c>
      <c r="AA12" s="47">
        <v>12</v>
      </c>
      <c r="AB12" s="47">
        <f>IFERROR(INDEX('Com Measure Mapping'!$W:$W,MATCH($B12,'Com Measure Mapping'!$B:$B,0)),"N/A")</f>
        <v>10.5</v>
      </c>
      <c r="AC12" s="190">
        <f>ROUND(IF(AB12="N/A",AA12,AB12),0)</f>
        <v>11</v>
      </c>
      <c r="AD12" s="146">
        <f t="shared" si="3"/>
        <v>0</v>
      </c>
      <c r="AE12" s="144">
        <f t="shared" si="14"/>
        <v>0</v>
      </c>
      <c r="AF12" s="49">
        <v>800</v>
      </c>
      <c r="AG12" s="49">
        <f>IFERROR(INDEX('Com Measure Mapping'!$X:$X,MATCH($B12,'Com Measure Mapping'!$B:$B,0)),"N/A")</f>
        <v>760.73059999999998</v>
      </c>
      <c r="AH12" s="49">
        <v>800</v>
      </c>
      <c r="AI12" s="144">
        <f t="shared" si="15"/>
        <v>0</v>
      </c>
      <c r="AJ12" s="154">
        <f t="shared" si="4"/>
        <v>0</v>
      </c>
      <c r="AK12" s="155">
        <f t="shared" si="5"/>
        <v>0</v>
      </c>
      <c r="AL12" s="70" t="str">
        <f>IFERROR(IF($D$3="Original",IF($AI12=0,"-",(INDEX('APP 2885'!$G:$G,MATCH($C$2+$AA12-1,'APP 2885'!$A:$A,0))*$T12)/($AI12+$AE12)),IF($AI12=0,"-",(INDEX('APP 2885'!$G:$G,MATCH($C$2+$AC12-1,'APP 2885'!$A:$A,0))*$T12)/($AI12+$AE12))),"N/A")</f>
        <v>-</v>
      </c>
      <c r="AM12" s="63">
        <f t="shared" si="6"/>
        <v>0</v>
      </c>
      <c r="AN12" s="63">
        <f t="shared" si="7"/>
        <v>0</v>
      </c>
      <c r="AO12" s="70" t="str">
        <f>IFERROR(IF($D$3="Original",IF($Z12=0,"-",(INDEX('APP 2885'!$E:$E,MATCH($C$2+$AA12-1,'APP 2885'!$A:$A,0))*$T12)/(Z12+AE12)),IF($Z12=0,"-",(INDEX('APP 2885'!$E:$E,MATCH($C$2+$AC12-1,'APP 2885'!$A:$A,0))*$T12)/(Z12+AE12))),"N/A")</f>
        <v>-</v>
      </c>
    </row>
    <row r="13" spans="2:42" ht="13.5" thickBot="1">
      <c r="B13" s="142" t="str">
        <f t="shared" ref="B13:B15" si="18">D13&amp;"_"&amp;F13</f>
        <v>Convection Oven (Lodging)_&gt;= 44% Cooking Efficiency,&lt;= 13,000 Btu/hr Idle Rate</v>
      </c>
      <c r="C13" s="137" t="s">
        <v>113</v>
      </c>
      <c r="D13" s="137" t="s">
        <v>86</v>
      </c>
      <c r="E13" s="137" t="s">
        <v>9</v>
      </c>
      <c r="F13" s="138" t="s">
        <v>47</v>
      </c>
      <c r="G13" s="138" t="str">
        <f t="shared" ref="G13:G15" si="19">F13</f>
        <v>&gt;= 44% Cooking Efficiency,&lt;= 13,000 Btu/hr Idle Rate</v>
      </c>
      <c r="H13" s="52">
        <f>COUNTIF('All TRC 2022 Measure Data'!$B:$B,C13)</f>
        <v>2</v>
      </c>
      <c r="I13" s="162">
        <v>219</v>
      </c>
      <c r="J13" s="53" t="s">
        <v>48</v>
      </c>
      <c r="K13" s="180">
        <f>IFERROR(INDEX('Com Measure Mapping'!$T:$T,MATCH($B13,'Com Measure Mapping'!$B:$B,0)),"N/A")</f>
        <v>329.69063227564976</v>
      </c>
      <c r="L13" s="181" t="str">
        <f>IFERROR(INDEX('Com Measure Mapping'!$U:$U,MATCH($B13,'Com Measure Mapping'!$B:$B,0)),"N/A")</f>
        <v>1 unit</v>
      </c>
      <c r="M13" s="182">
        <f>I13</f>
        <v>219</v>
      </c>
      <c r="N13" s="67">
        <f>SUMIF('All TRC 2022 Measure Data'!$B:$B,C13,'All TRC 2022 Measure Data'!$W:$W)</f>
        <v>2</v>
      </c>
      <c r="O13" s="184">
        <f>IFERROR(INDEX('Com Measure Mapping'!$Y:$Y,MATCH($B13,'Com Measure Mapping'!$B:$B,0)),"N/A")</f>
        <v>0.11168050197242256</v>
      </c>
      <c r="P13" s="184">
        <f>IFERROR(INDEX('Com Measure Mapping'!$Z:$Z,MATCH($B13,'Com Measure Mapping'!$B:$B,0)),"N/A")</f>
        <v>0.15953022382857557</v>
      </c>
      <c r="Q13" s="185">
        <f t="shared" ref="Q13:Q15" si="20">IFERROR((P13-O13)/O13,"N/A")</f>
        <v>0.42845188740258899</v>
      </c>
      <c r="R13" s="186">
        <f t="shared" ref="R13:R15" si="21">ROUND((N13/(6/12))*0.55,0)</f>
        <v>2</v>
      </c>
      <c r="S13" s="186">
        <f t="shared" ref="S13:S15" si="22">ROUND(IFERROR((R13*IF(Q13&gt;50%,(1+(Q13-19.5%)),(1+Q13))),R13),0)</f>
        <v>3</v>
      </c>
      <c r="T13" s="168">
        <f t="shared" ref="T13:T15" si="23">IF($D$3="Original",ROUNDDOWN(I13*N13,2),ROUNDDOWN(M13*S13,2))</f>
        <v>657</v>
      </c>
      <c r="U13" s="67"/>
      <c r="V13" s="187">
        <f>IFERROR(INDEX('Com Measure Mapping'!$V:$V,MATCH($B13,'Com Measure Mapping'!$B:$B,0)),"N/A")</f>
        <v>760.73</v>
      </c>
      <c r="W13" s="64">
        <v>900</v>
      </c>
      <c r="X13" s="64">
        <f t="shared" ref="X13:X15" si="24">IF($D$3="Original",N13*U13,S13*W13)</f>
        <v>2700</v>
      </c>
      <c r="Y13" s="64">
        <f t="shared" si="2"/>
        <v>81.602373751513511</v>
      </c>
      <c r="Z13" s="64">
        <f t="shared" ref="Z13:Z15" si="25">IF($D$3="Original",MAX(0,N13*(U13-Y13)),MAX(0,S13*(W13-Y13)))</f>
        <v>2455.1928787454594</v>
      </c>
      <c r="AA13" s="52">
        <v>12</v>
      </c>
      <c r="AB13" s="189">
        <f>IFERROR(INDEX('Com Measure Mapping'!$W:$W,MATCH($B13,'Com Measure Mapping'!$B:$B,0)),"N/A")</f>
        <v>10.5</v>
      </c>
      <c r="AC13" s="188">
        <f t="shared" ref="AC13:AC15" si="26">ROUND(IF(AB13="N/A",AA13,AB13),0)</f>
        <v>11</v>
      </c>
      <c r="AD13" s="147">
        <f t="shared" ref="AD13:AD15" si="27">IF($D$3="Original",PV($D$54,AA13,-T13),PV($D$54,AC13,-T13))</f>
        <v>5440.1582501009007</v>
      </c>
      <c r="AE13" s="145">
        <f t="shared" ref="AE13:AE15" si="28">$D$57*T13/SUM($T$5:$T$42)</f>
        <v>1716.2868551030977</v>
      </c>
      <c r="AF13" s="54">
        <v>800</v>
      </c>
      <c r="AG13" s="191">
        <f>IFERROR(INDEX('Com Measure Mapping'!$X:$X,MATCH($B13,'Com Measure Mapping'!$B:$B,0)),"N/A")</f>
        <v>760.73059999999998</v>
      </c>
      <c r="AH13" s="54">
        <v>800</v>
      </c>
      <c r="AI13" s="145">
        <f t="shared" ref="AI13:AI15" si="29">IF($D$3="Original",N13*AF13,S13*AH13)</f>
        <v>2400</v>
      </c>
      <c r="AJ13" s="156">
        <f t="shared" ref="AJ13:AJ15" si="30">IF(ISERROR(AI13/AD13),0,AI13/AD13)</f>
        <v>0.44116363709741097</v>
      </c>
      <c r="AK13" s="157">
        <f t="shared" ref="AK13:AK15" si="31">IF(AD13=0,0,(AI13+AE13)/AD13)</f>
        <v>0.75664836680564418</v>
      </c>
      <c r="AL13" s="163">
        <f>IFERROR(IF($D$3="Original",IF($AI13=0,"-",(INDEX('APP 2885'!$G:$G,MATCH($C$2+$AA13-1,'APP 2885'!$A:$A,0))*$T13)/($AI13+$AE13)),IF($AI13=0,"-",(INDEX('APP 2885'!$G:$G,MATCH($C$2+$AC13-1,'APP 2885'!$A:$A,0))*$T13)/($AI13+$AE13))),"N/A")</f>
        <v>2.8260975193150353</v>
      </c>
      <c r="AM13" s="64">
        <f t="shared" ref="AM13:AM15" si="32">IF(ISERROR(Z13/AD13),0,Z13/AD13)</f>
        <v>0.45130909173458733</v>
      </c>
      <c r="AN13" s="64">
        <f t="shared" ref="AN13:AN15" si="33">IF(AD13=0,0,(Z13+AE13)/AD13)</f>
        <v>0.76679382144282049</v>
      </c>
      <c r="AO13" s="163">
        <f>IFERROR(IF($D$3="Original",IF($Z13=0,"-",(INDEX('APP 2885'!$E:$E,MATCH($C$2+$AA13-1,'APP 2885'!$A:$A,0))*$T13)/(Z13+AE13)),IF($Z13=0,"-",(INDEX('APP 2885'!$E:$E,MATCH($C$2+$AC13-1,'APP 2885'!$A:$A,0))*$T13)/(Z13+AE13))),"N/A")</f>
        <v>2.5351867295003911</v>
      </c>
    </row>
    <row r="14" spans="2:42" ht="13.5" thickBot="1">
      <c r="B14" s="142" t="str">
        <f t="shared" si="18"/>
        <v>Convection Oven (Restaurant)_&gt;= 44% Cooking Efficiency,&lt;= 13,000 Btu/hr Idle Rate</v>
      </c>
      <c r="C14" s="135" t="s">
        <v>847</v>
      </c>
      <c r="D14" s="135" t="s">
        <v>46</v>
      </c>
      <c r="E14" s="135" t="s">
        <v>9</v>
      </c>
      <c r="F14" s="136" t="s">
        <v>47</v>
      </c>
      <c r="G14" s="136" t="str">
        <f t="shared" si="19"/>
        <v>&gt;= 44% Cooking Efficiency,&lt;= 13,000 Btu/hr Idle Rate</v>
      </c>
      <c r="H14" s="47">
        <f>COUNTIF('All TRC 2022 Measure Data'!$B:$B,C14)</f>
        <v>0</v>
      </c>
      <c r="I14" s="164">
        <v>649</v>
      </c>
      <c r="J14" s="48" t="s">
        <v>48</v>
      </c>
      <c r="K14" s="164">
        <f>IFERROR(INDEX('Com Measure Mapping'!$T:$T,MATCH($B14,'Com Measure Mapping'!$B:$B,0)),"N/A")</f>
        <v>329.69063227564965</v>
      </c>
      <c r="L14" s="66" t="str">
        <f>IFERROR(INDEX('Com Measure Mapping'!$U:$U,MATCH($B14,'Com Measure Mapping'!$B:$B,0)),"N/A")</f>
        <v>1 unit</v>
      </c>
      <c r="M14" s="183">
        <f>I14</f>
        <v>649</v>
      </c>
      <c r="N14" s="66">
        <f>SUMIF('All TRC 2022 Measure Data'!$B:$B,C14,'All TRC 2022 Measure Data'!$W:$W)</f>
        <v>0</v>
      </c>
      <c r="O14" s="165">
        <f>IFERROR(INDEX('Com Measure Mapping'!$Y:$Y,MATCH($B14,'Com Measure Mapping'!$B:$B,0)),"N/A")</f>
        <v>3.9784515007661758</v>
      </c>
      <c r="P14" s="165">
        <f>IFERROR(INDEX('Com Measure Mapping'!$Z:$Z,MATCH($B14,'Com Measure Mapping'!$B:$B,0)),"N/A")</f>
        <v>5.6830265552091088</v>
      </c>
      <c r="Q14" s="167">
        <f t="shared" si="20"/>
        <v>0.42845188740258955</v>
      </c>
      <c r="R14" s="166">
        <f t="shared" si="21"/>
        <v>0</v>
      </c>
      <c r="S14" s="166">
        <f t="shared" si="22"/>
        <v>0</v>
      </c>
      <c r="T14" s="192">
        <f t="shared" si="23"/>
        <v>0</v>
      </c>
      <c r="U14" s="66"/>
      <c r="V14" s="143">
        <f>IFERROR(INDEX('Com Measure Mapping'!$V:$V,MATCH($B14,'Com Measure Mapping'!$B:$B,0)),"N/A")</f>
        <v>760.73</v>
      </c>
      <c r="W14" s="63">
        <v>900</v>
      </c>
      <c r="X14" s="63">
        <f t="shared" si="24"/>
        <v>0</v>
      </c>
      <c r="Y14" s="63">
        <f t="shared" si="2"/>
        <v>241.82621262434827</v>
      </c>
      <c r="Z14" s="63">
        <f t="shared" si="25"/>
        <v>0</v>
      </c>
      <c r="AA14" s="47">
        <v>12</v>
      </c>
      <c r="AB14" s="47">
        <f>IFERROR(INDEX('Com Measure Mapping'!$W:$W,MATCH($B14,'Com Measure Mapping'!$B:$B,0)),"N/A")</f>
        <v>10.5</v>
      </c>
      <c r="AC14" s="190">
        <f t="shared" si="26"/>
        <v>11</v>
      </c>
      <c r="AD14" s="146">
        <f t="shared" si="27"/>
        <v>0</v>
      </c>
      <c r="AE14" s="144">
        <f t="shared" si="28"/>
        <v>0</v>
      </c>
      <c r="AF14" s="49">
        <v>800</v>
      </c>
      <c r="AG14" s="49">
        <f>IFERROR(INDEX('Com Measure Mapping'!$X:$X,MATCH($B14,'Com Measure Mapping'!$B:$B,0)),"N/A")</f>
        <v>760.73059999999998</v>
      </c>
      <c r="AH14" s="49">
        <v>800</v>
      </c>
      <c r="AI14" s="144">
        <f t="shared" si="29"/>
        <v>0</v>
      </c>
      <c r="AJ14" s="154">
        <f t="shared" si="30"/>
        <v>0</v>
      </c>
      <c r="AK14" s="155">
        <f t="shared" si="31"/>
        <v>0</v>
      </c>
      <c r="AL14" s="70" t="str">
        <f>IFERROR(IF($D$3="Original",IF($AI14=0,"-",(INDEX('APP 2885'!$G:$G,MATCH($C$2+$AA14-1,'APP 2885'!$A:$A,0))*$T14)/($AI14+$AE14)),IF($AI14=0,"-",(INDEX('APP 2885'!$G:$G,MATCH($C$2+$AC14-1,'APP 2885'!$A:$A,0))*$T14)/($AI14+$AE14))),"N/A")</f>
        <v>-</v>
      </c>
      <c r="AM14" s="63">
        <f t="shared" si="32"/>
        <v>0</v>
      </c>
      <c r="AN14" s="63">
        <f t="shared" si="33"/>
        <v>0</v>
      </c>
      <c r="AO14" s="70" t="str">
        <f>IFERROR(IF($D$3="Original",IF($Z14=0,"-",(INDEX('APP 2885'!$E:$E,MATCH($C$2+$AA14-1,'APP 2885'!$A:$A,0))*$T14)/(Z14+AE14)),IF($Z14=0,"-",(INDEX('APP 2885'!$E:$E,MATCH($C$2+$AC14-1,'APP 2885'!$A:$A,0))*$T14)/(Z14+AE14))),"N/A")</f>
        <v>-</v>
      </c>
    </row>
    <row r="15" spans="2:42" ht="13.5" thickBot="1">
      <c r="B15" s="142" t="str">
        <f t="shared" si="18"/>
        <v>Convection Oven (School)_&gt;= 44% Cooking Efficiency,&lt;= 13,000 Btu/hr Idle Rate</v>
      </c>
      <c r="C15" s="137" t="s">
        <v>848</v>
      </c>
      <c r="D15" s="137" t="s">
        <v>87</v>
      </c>
      <c r="E15" s="137" t="s">
        <v>9</v>
      </c>
      <c r="F15" s="138" t="s">
        <v>47</v>
      </c>
      <c r="G15" s="138" t="str">
        <f t="shared" si="19"/>
        <v>&gt;= 44% Cooking Efficiency,&lt;= 13,000 Btu/hr Idle Rate</v>
      </c>
      <c r="H15" s="52">
        <f>COUNTIF('All TRC 2022 Measure Data'!$B:$B,C15)</f>
        <v>0</v>
      </c>
      <c r="I15" s="162">
        <v>141</v>
      </c>
      <c r="J15" s="53" t="s">
        <v>48</v>
      </c>
      <c r="K15" s="180">
        <f>IFERROR(INDEX('Com Measure Mapping'!$T:$T,MATCH($B15,'Com Measure Mapping'!$B:$B,0)),"N/A")</f>
        <v>329.69063227564976</v>
      </c>
      <c r="L15" s="181" t="str">
        <f>IFERROR(INDEX('Com Measure Mapping'!$U:$U,MATCH($B15,'Com Measure Mapping'!$B:$B,0)),"N/A")</f>
        <v>1 unit</v>
      </c>
      <c r="M15" s="182">
        <f>I15</f>
        <v>141</v>
      </c>
      <c r="N15" s="67">
        <f>SUMIF('All TRC 2022 Measure Data'!$B:$B,C15,'All TRC 2022 Measure Data'!$W:$W)</f>
        <v>0</v>
      </c>
      <c r="O15" s="184">
        <f>IFERROR(INDEX('Com Measure Mapping'!$Y:$Y,MATCH($B15,'Com Measure Mapping'!$B:$B,0)),"N/A")</f>
        <v>2.0986722621707449E-2</v>
      </c>
      <c r="P15" s="184">
        <f>IFERROR(INDEX('Com Measure Mapping'!$Z:$Z,MATCH($B15,'Com Measure Mapping'!$B:$B,0)),"N/A")</f>
        <v>2.9978523539372616E-2</v>
      </c>
      <c r="Q15" s="185">
        <f t="shared" si="20"/>
        <v>0.42845188740258899</v>
      </c>
      <c r="R15" s="186">
        <f t="shared" si="21"/>
        <v>0</v>
      </c>
      <c r="S15" s="186">
        <f t="shared" si="22"/>
        <v>0</v>
      </c>
      <c r="T15" s="168">
        <f t="shared" si="23"/>
        <v>0</v>
      </c>
      <c r="U15" s="67"/>
      <c r="V15" s="187">
        <f>IFERROR(INDEX('Com Measure Mapping'!$V:$V,MATCH($B15,'Com Measure Mapping'!$B:$B,0)),"N/A")</f>
        <v>760.73</v>
      </c>
      <c r="W15" s="64">
        <v>900</v>
      </c>
      <c r="X15" s="64">
        <f t="shared" si="24"/>
        <v>0</v>
      </c>
      <c r="Y15" s="64">
        <f t="shared" si="2"/>
        <v>52.538514607138836</v>
      </c>
      <c r="Z15" s="64">
        <f t="shared" si="25"/>
        <v>0</v>
      </c>
      <c r="AA15" s="52">
        <v>12</v>
      </c>
      <c r="AB15" s="189">
        <f>IFERROR(INDEX('Com Measure Mapping'!$W:$W,MATCH($B15,'Com Measure Mapping'!$B:$B,0)),"N/A")</f>
        <v>10.5</v>
      </c>
      <c r="AC15" s="188">
        <f t="shared" si="26"/>
        <v>11</v>
      </c>
      <c r="AD15" s="147">
        <f t="shared" si="27"/>
        <v>0</v>
      </c>
      <c r="AE15" s="145">
        <f t="shared" si="28"/>
        <v>0</v>
      </c>
      <c r="AF15" s="54">
        <v>800</v>
      </c>
      <c r="AG15" s="191">
        <f>IFERROR(INDEX('Com Measure Mapping'!$X:$X,MATCH($B15,'Com Measure Mapping'!$B:$B,0)),"N/A")</f>
        <v>760.73059999999998</v>
      </c>
      <c r="AH15" s="54">
        <v>800</v>
      </c>
      <c r="AI15" s="145">
        <f t="shared" si="29"/>
        <v>0</v>
      </c>
      <c r="AJ15" s="156">
        <f t="shared" si="30"/>
        <v>0</v>
      </c>
      <c r="AK15" s="157">
        <f t="shared" si="31"/>
        <v>0</v>
      </c>
      <c r="AL15" s="163" t="str">
        <f>IFERROR(IF($D$3="Original",IF($AI15=0,"-",(INDEX('APP 2885'!$G:$G,MATCH($C$2+$AA15-1,'APP 2885'!$A:$A,0))*$T15)/($AI15+$AE15)),IF($AI15=0,"-",(INDEX('APP 2885'!$G:$G,MATCH($C$2+$AC15-1,'APP 2885'!$A:$A,0))*$T15)/($AI15+$AE15))),"N/A")</f>
        <v>-</v>
      </c>
      <c r="AM15" s="64">
        <f t="shared" si="32"/>
        <v>0</v>
      </c>
      <c r="AN15" s="64">
        <f t="shared" si="33"/>
        <v>0</v>
      </c>
      <c r="AO15" s="163" t="str">
        <f>IFERROR(IF($D$3="Original",IF($Z15=0,"-",(INDEX('APP 2885'!$E:$E,MATCH($C$2+$AA15-1,'APP 2885'!$A:$A,0))*$T15)/(Z15+AE15)),IF($Z15=0,"-",(INDEX('APP 2885'!$E:$E,MATCH($C$2+$AC15-1,'APP 2885'!$A:$A,0))*$T15)/(Z15+AE15))),"N/A")</f>
        <v>-</v>
      </c>
    </row>
    <row r="16" spans="2:42" ht="13.5" thickBot="1">
      <c r="B16" s="142" t="str">
        <f t="shared" si="0"/>
        <v>DCV_Meet JUARC Guidelines for DCV RTUs in 5-20 ton</v>
      </c>
      <c r="C16" s="135" t="s">
        <v>307</v>
      </c>
      <c r="D16" s="135" t="s">
        <v>44</v>
      </c>
      <c r="E16" s="135" t="s">
        <v>28</v>
      </c>
      <c r="F16" s="136" t="s">
        <v>30</v>
      </c>
      <c r="G16" s="136" t="str">
        <f t="shared" si="16"/>
        <v>Meet JUARC Guidelines for DCV RTUs in 5-20 ton</v>
      </c>
      <c r="H16" s="47">
        <f>COUNTIF('All TRC 2022 Measure Data'!$B:$B,C16)</f>
        <v>0</v>
      </c>
      <c r="I16" s="164">
        <v>11.3041</v>
      </c>
      <c r="J16" s="48" t="s">
        <v>45</v>
      </c>
      <c r="K16" s="164">
        <f>IFERROR(INDEX('Com Measure Mapping'!$T:$T,MATCH($B16,'Com Measure Mapping'!$B:$B,0)),"N/A")</f>
        <v>11.304074999999997</v>
      </c>
      <c r="L16" s="66" t="str">
        <f>IFERROR(INDEX('Com Measure Mapping'!$U:$U,MATCH($B16,'Com Measure Mapping'!$B:$B,0)),"N/A")</f>
        <v>ton</v>
      </c>
      <c r="M16" s="183">
        <f t="shared" si="8"/>
        <v>11.304074999999997</v>
      </c>
      <c r="N16" s="66">
        <f>SUMIF('All TRC 2022 Measure Data'!$B:$B,C16,'All TRC 2022 Measure Data'!$W:$W)</f>
        <v>0</v>
      </c>
      <c r="O16" s="165">
        <f>IFERROR(INDEX('Com Measure Mapping'!$Y:$Y,MATCH($B16,'Com Measure Mapping'!$B:$B,0)),"N/A")</f>
        <v>127265.19039231732</v>
      </c>
      <c r="P16" s="165">
        <f>IFERROR(INDEX('Com Measure Mapping'!$Z:$Z,MATCH($B16,'Com Measure Mapping'!$B:$B,0)),"N/A")</f>
        <v>213149.86786029991</v>
      </c>
      <c r="Q16" s="167">
        <f t="shared" si="1"/>
        <v>0.67484814349648925</v>
      </c>
      <c r="R16" s="166">
        <f>ROUND((O16*10%)*0.55,0)</f>
        <v>7000</v>
      </c>
      <c r="S16" s="166">
        <f t="shared" si="9"/>
        <v>10359</v>
      </c>
      <c r="T16" s="192">
        <f t="shared" si="10"/>
        <v>117098.91</v>
      </c>
      <c r="U16" s="66"/>
      <c r="V16" s="143">
        <f>IFERROR(INDEX('Com Measure Mapping'!$V:$V,MATCH($B16,'Com Measure Mapping'!$B:$B,0)),"N/A")</f>
        <v>106.81875000000001</v>
      </c>
      <c r="W16" s="63">
        <v>106.81875000000001</v>
      </c>
      <c r="X16" s="63">
        <f t="shared" si="11"/>
        <v>1106535.4312500001</v>
      </c>
      <c r="Y16" s="63">
        <f t="shared" si="2"/>
        <v>2.5769733604257157</v>
      </c>
      <c r="Z16" s="63">
        <f t="shared" si="12"/>
        <v>1079840.5642093502</v>
      </c>
      <c r="AA16" s="47">
        <v>15</v>
      </c>
      <c r="AB16" s="47">
        <f>IFERROR(INDEX('Com Measure Mapping'!$W:$W,MATCH($B16,'Com Measure Mapping'!$B:$B,0)),"N/A")</f>
        <v>6</v>
      </c>
      <c r="AC16" s="190">
        <f t="shared" si="13"/>
        <v>6</v>
      </c>
      <c r="AD16" s="146">
        <f t="shared" si="3"/>
        <v>593219.2527520454</v>
      </c>
      <c r="AE16" s="144">
        <f t="shared" si="14"/>
        <v>305898.5083407925</v>
      </c>
      <c r="AF16" s="49">
        <v>20</v>
      </c>
      <c r="AG16" s="49">
        <f>IFERROR(INDEX('Com Measure Mapping'!$X:$X,MATCH($B16,'Com Measure Mapping'!$B:$B,0)),"N/A")</f>
        <v>44.861943750000002</v>
      </c>
      <c r="AH16" s="49">
        <v>50</v>
      </c>
      <c r="AI16" s="144">
        <f t="shared" si="15"/>
        <v>517950</v>
      </c>
      <c r="AJ16" s="154">
        <f t="shared" si="4"/>
        <v>0.873117313029106</v>
      </c>
      <c r="AK16" s="155">
        <f t="shared" si="5"/>
        <v>1.3887757427271934</v>
      </c>
      <c r="AL16" s="70">
        <f>IFERROR(IF($D$3="Original",IF($AI16=0,"-",(INDEX('APP 2885'!$G:$G,MATCH($C$2+$AA16-1,'APP 2885'!$A:$A,0))*$T16)/($AI16+$AE16)),IF($AI16=0,"-",(INDEX('APP 2885'!$G:$G,MATCH($C$2+$AC16-1,'APP 2885'!$A:$A,0))*$T16)/($AI16+$AE16))),"N/A")</f>
        <v>1.6282224527792217</v>
      </c>
      <c r="AM16" s="63">
        <f t="shared" si="6"/>
        <v>1.8203059984985068</v>
      </c>
      <c r="AN16" s="63">
        <f t="shared" si="7"/>
        <v>2.3359644281965943</v>
      </c>
      <c r="AO16" s="70">
        <f>IFERROR(IF($D$3="Original",IF($Z16=0,"-",(INDEX('APP 2885'!$E:$E,MATCH($C$2+$AA16-1,'APP 2885'!$A:$A,0))*$T16)/(Z16+AE16)),IF($Z16=0,"-",(INDEX('APP 2885'!$E:$E,MATCH($C$2+$AC16-1,'APP 2885'!$A:$A,0))*$T16)/(Z16+AE16))),"N/A")</f>
        <v>0.88000867062131272</v>
      </c>
    </row>
    <row r="17" spans="2:41" ht="13.5" thickBot="1">
      <c r="B17" s="142"/>
      <c r="C17" s="137" t="s">
        <v>693</v>
      </c>
      <c r="D17" s="137" t="s">
        <v>826</v>
      </c>
      <c r="E17" s="137" t="s">
        <v>827</v>
      </c>
      <c r="F17" s="138" t="s">
        <v>828</v>
      </c>
      <c r="G17" s="138" t="str">
        <f t="shared" si="16"/>
        <v>Efficient Hood</v>
      </c>
      <c r="H17" s="52">
        <f>COUNTIF('All TRC 2022 Measure Data'!$B:$B,C17)</f>
        <v>0</v>
      </c>
      <c r="I17" s="162">
        <v>0.15</v>
      </c>
      <c r="J17" s="53" t="s">
        <v>829</v>
      </c>
      <c r="K17" s="180" t="str">
        <f>IFERROR(INDEX('Com Measure Mapping'!$T:$T,MATCH($B17,'Com Measure Mapping'!$B:$B,0)),"N/A")</f>
        <v>N/A</v>
      </c>
      <c r="L17" s="181" t="str">
        <f>IFERROR(INDEX('Com Measure Mapping'!$U:$U,MATCH($B17,'Com Measure Mapping'!$B:$B,0)),"N/A")</f>
        <v>N/A</v>
      </c>
      <c r="M17" s="182">
        <f t="shared" si="8"/>
        <v>0.15</v>
      </c>
      <c r="N17" s="67">
        <f>SUMIF('All TRC 2022 Measure Data'!$B:$B,C17,'All TRC 2022 Measure Data'!$W:$W)</f>
        <v>0</v>
      </c>
      <c r="O17" s="184" t="str">
        <f>IFERROR(INDEX('Com Measure Mapping'!$Y:$Y,MATCH($C17,'Com Measure Mapping'!$B:$B,0)),"N/A")</f>
        <v>N/A</v>
      </c>
      <c r="P17" s="184" t="str">
        <f>IFERROR(INDEX('Com Measure Mapping'!$Z:$Z,MATCH($C17,'Com Measure Mapping'!$B:$B,0)),"N/A")</f>
        <v>N/A</v>
      </c>
      <c r="Q17" s="185" t="str">
        <f t="shared" si="1"/>
        <v>N/A</v>
      </c>
      <c r="R17" s="186">
        <f>5*5000</f>
        <v>25000</v>
      </c>
      <c r="S17" s="186">
        <f t="shared" si="9"/>
        <v>25000</v>
      </c>
      <c r="T17" s="168">
        <f t="shared" ref="T17" si="34">IF($D$3="Original",ROUNDDOWN(I17*N17,2),ROUNDDOWN(M17*S17,2))</f>
        <v>3750</v>
      </c>
      <c r="U17" s="67"/>
      <c r="V17" s="187" t="str">
        <f>IFERROR(INDEX('Com Measure Mapping'!$V:$V,MATCH($B17,'Com Measure Mapping'!$B:$B,0)),"N/A")</f>
        <v>N/A</v>
      </c>
      <c r="W17" s="64">
        <v>2.41</v>
      </c>
      <c r="X17" s="64">
        <f t="shared" ref="X17" si="35">IF($D$3="Original",N17*U17,S17*W17)</f>
        <v>60250</v>
      </c>
      <c r="Y17" s="64">
        <f t="shared" si="2"/>
        <v>6.9779408095643813E-2</v>
      </c>
      <c r="Z17" s="64">
        <f t="shared" ref="Z17" si="36">IF($D$3="Original",MAX(0,N17*(U17-Y17)),MAX(0,S17*(W17-Y17)))</f>
        <v>58505.514797608907</v>
      </c>
      <c r="AA17" s="52">
        <v>0</v>
      </c>
      <c r="AB17" s="189" t="str">
        <f>IFERROR(INDEX('Com Measure Mapping'!$W:$W,MATCH($B17,'Com Measure Mapping'!$B:$B,0)),"N/A")</f>
        <v>N/A</v>
      </c>
      <c r="AC17" s="188">
        <v>15</v>
      </c>
      <c r="AD17" s="147">
        <f t="shared" si="3"/>
        <v>38766.337830913224</v>
      </c>
      <c r="AE17" s="145">
        <f t="shared" si="14"/>
        <v>9796.1578487619718</v>
      </c>
      <c r="AF17" s="54">
        <v>0</v>
      </c>
      <c r="AG17" s="191" t="str">
        <f>IFERROR(INDEX('Com Measure Mapping'!$X:$X,MATCH($B17,'Com Measure Mapping'!$B:$B,0)),"N/A")</f>
        <v>N/A</v>
      </c>
      <c r="AH17" s="54">
        <v>0.5</v>
      </c>
      <c r="AI17" s="145">
        <f t="shared" ref="AI17" si="37">IF($D$3="Original",N17*AF17,S17*AH17)</f>
        <v>12500</v>
      </c>
      <c r="AJ17" s="156">
        <f t="shared" ref="AJ17" si="38">IF(ISERROR(AI17/AD17),0,AI17/AD17)</f>
        <v>0.32244469556348432</v>
      </c>
      <c r="AK17" s="157">
        <f t="shared" ref="AK17" si="39">IF(AD17=0,0,(AI17+AE17)/AD17)</f>
        <v>0.57514222638235557</v>
      </c>
      <c r="AL17" s="163">
        <f>IFERROR(IF($D$3="Original",IF($AI17=0,"-",(INDEX('APP 2885'!$G:$G,MATCH($C$2+$AA17-1,'APP 2885'!$A:$A,0))*$T17)/($AI17+$AE17)),IF($AI17=0,"-",(INDEX('APP 2885'!$G:$G,MATCH($C$2+$AC17-1,'APP 2885'!$A:$A,0))*$T17)/($AI17+$AE17))),"N/A")</f>
        <v>3.9432320437798154</v>
      </c>
      <c r="AM17" s="64">
        <f t="shared" ref="AM17" si="40">IF(ISERROR(Z17/AD17),0,Z17/AD17)</f>
        <v>1.5091834326159945</v>
      </c>
      <c r="AN17" s="64">
        <f t="shared" ref="AN17" si="41">IF(AD17=0,0,(Z17+AE17)/AD17)</f>
        <v>1.7618809634348658</v>
      </c>
      <c r="AO17" s="163">
        <f>IFERROR(IF($D$3="Original",IF($Z17=0,"-",(INDEX('APP 2885'!$E:$E,MATCH($C$2+$AA17-1,'APP 2885'!$A:$A,0))*$T17)/(Z17+AE17)),IF($Z17=0,"-",(INDEX('APP 2885'!$E:$E,MATCH($C$2+$AC17-1,'APP 2885'!$A:$A,0))*$T17)/(Z17+AE17))),"N/A")</f>
        <v>1.1701952752195219</v>
      </c>
    </row>
    <row r="18" spans="2:41" ht="13.5" thickBot="1">
      <c r="B18" s="142" t="str">
        <f t="shared" si="0"/>
        <v>DHW Recirculation Controls_Add time clock or other schedule control for continuous operation DHW recirculation pump</v>
      </c>
      <c r="C18" s="135" t="s">
        <v>114</v>
      </c>
      <c r="D18" s="135" t="s">
        <v>88</v>
      </c>
      <c r="E18" s="135" t="s">
        <v>97</v>
      </c>
      <c r="F18" s="136" t="s">
        <v>98</v>
      </c>
      <c r="G18" s="136" t="str">
        <f t="shared" si="16"/>
        <v>Add time clock or other schedule control for continuous operation DHW recirculation pump</v>
      </c>
      <c r="H18" s="47">
        <f>COUNTIF('All TRC 2022 Measure Data'!$B:$B,C18)</f>
        <v>0</v>
      </c>
      <c r="I18" s="164">
        <v>72</v>
      </c>
      <c r="J18" s="48" t="s">
        <v>108</v>
      </c>
      <c r="K18" s="164">
        <f>IFERROR(INDEX('Com Measure Mapping'!$T:$T,MATCH($B18,'Com Measure Mapping'!$B:$B,0)),"N/A")</f>
        <v>646.52388499057565</v>
      </c>
      <c r="L18" s="66" t="str">
        <f>IFERROR(INDEX('Com Measure Mapping'!$U:$U,MATCH($B18,'Com Measure Mapping'!$B:$B,0)),"N/A")</f>
        <v>perBldg</v>
      </c>
      <c r="M18" s="183">
        <f>I18</f>
        <v>72</v>
      </c>
      <c r="N18" s="66">
        <f>SUMIF('All TRC 2022 Measure Data'!$B:$B,C18,'All TRC 2022 Measure Data'!$W:$W)</f>
        <v>0</v>
      </c>
      <c r="O18" s="165">
        <f>IFERROR(INDEX('Com Measure Mapping'!$Y:$Y,MATCH($B18,'Com Measure Mapping'!$B:$B,0)),"N/A")</f>
        <v>0</v>
      </c>
      <c r="P18" s="165">
        <f>IFERROR(INDEX('Com Measure Mapping'!$Z:$Z,MATCH($B18,'Com Measure Mapping'!$B:$B,0)),"N/A")</f>
        <v>0</v>
      </c>
      <c r="Q18" s="167" t="str">
        <f t="shared" si="1"/>
        <v>N/A</v>
      </c>
      <c r="R18" s="166">
        <f t="shared" ref="R18:R23" si="42">ROUND((N18/(6/12))*0.55,0)</f>
        <v>0</v>
      </c>
      <c r="S18" s="166">
        <f t="shared" si="9"/>
        <v>0</v>
      </c>
      <c r="T18" s="192">
        <f t="shared" si="10"/>
        <v>0</v>
      </c>
      <c r="U18" s="66"/>
      <c r="V18" s="143">
        <f>IFERROR(INDEX('Com Measure Mapping'!$V:$V,MATCH($B18,'Com Measure Mapping'!$B:$B,0)),"N/A")</f>
        <v>2146.2999999999997</v>
      </c>
      <c r="W18" s="63">
        <v>2146.2999999999997</v>
      </c>
      <c r="X18" s="63">
        <f t="shared" si="11"/>
        <v>0</v>
      </c>
      <c r="Y18" s="63">
        <f t="shared" si="2"/>
        <v>33.494115885909032</v>
      </c>
      <c r="Z18" s="63">
        <f t="shared" si="12"/>
        <v>0</v>
      </c>
      <c r="AA18" s="47">
        <v>15</v>
      </c>
      <c r="AB18" s="47">
        <f>IFERROR(INDEX('Com Measure Mapping'!$W:$W,MATCH($B18,'Com Measure Mapping'!$B:$B,0)),"N/A")</f>
        <v>15</v>
      </c>
      <c r="AC18" s="190">
        <f t="shared" si="13"/>
        <v>15</v>
      </c>
      <c r="AD18" s="146">
        <f t="shared" si="3"/>
        <v>0</v>
      </c>
      <c r="AE18" s="144">
        <f t="shared" si="14"/>
        <v>0</v>
      </c>
      <c r="AF18" s="49">
        <v>200</v>
      </c>
      <c r="AG18" s="49">
        <f>IFERROR(INDEX('Com Measure Mapping'!$X:$X,MATCH($B18,'Com Measure Mapping'!$B:$B,0)),"N/A")</f>
        <v>2009.443231101179</v>
      </c>
      <c r="AH18" s="49">
        <v>200</v>
      </c>
      <c r="AI18" s="144">
        <f t="shared" si="15"/>
        <v>0</v>
      </c>
      <c r="AJ18" s="154">
        <f t="shared" si="4"/>
        <v>0</v>
      </c>
      <c r="AK18" s="155">
        <f t="shared" si="5"/>
        <v>0</v>
      </c>
      <c r="AL18" s="70" t="str">
        <f>IFERROR(IF($D$3="Original",IF($AI18=0,"-",(INDEX('APP 2885'!$G:$G,MATCH($C$2+$AA18-1,'APP 2885'!$A:$A,0))*$T18)/($AI18+$AE18)),IF($AI18=0,"-",(INDEX('APP 2885'!$G:$G,MATCH($C$2+$AC18-1,'APP 2885'!$A:$A,0))*$T18)/($AI18+$AE18))),"N/A")</f>
        <v>-</v>
      </c>
      <c r="AM18" s="63">
        <f t="shared" si="6"/>
        <v>0</v>
      </c>
      <c r="AN18" s="63">
        <f t="shared" si="7"/>
        <v>0</v>
      </c>
      <c r="AO18" s="70" t="str">
        <f>IFERROR(IF($D$3="Original",IF($Z18=0,"-",(INDEX('APP 2885'!$E:$E,MATCH($C$2+$AA18-1,'APP 2885'!$A:$A,0))*$T18)/(Z18+AE18)),IF($Z18=0,"-",(INDEX('APP 2885'!$E:$E,MATCH($C$2+$AC18-1,'APP 2885'!$A:$A,0))*$T18)/(Z18+AE18))),"N/A")</f>
        <v>-</v>
      </c>
    </row>
    <row r="19" spans="2:41" ht="13.5" thickBot="1">
      <c r="B19" s="142" t="str">
        <f t="shared" si="0"/>
        <v>Domestic Hot Water Tanks - Condensing_Minimum 91% AFUE or 91% Thermal Efficiency</v>
      </c>
      <c r="C19" s="137" t="s">
        <v>274</v>
      </c>
      <c r="D19" s="137" t="s">
        <v>54</v>
      </c>
      <c r="E19" s="137" t="s">
        <v>8</v>
      </c>
      <c r="F19" s="138" t="s">
        <v>12</v>
      </c>
      <c r="G19" s="138" t="str">
        <f t="shared" si="16"/>
        <v>Minimum 91% AFUE or 91% Thermal Efficiency</v>
      </c>
      <c r="H19" s="52">
        <f>COUNTIF('All TRC 2022 Measure Data'!$B:$B,C19)</f>
        <v>15</v>
      </c>
      <c r="I19" s="162">
        <v>3.7987000000000002</v>
      </c>
      <c r="J19" s="53" t="s">
        <v>55</v>
      </c>
      <c r="K19" s="180">
        <f>IFERROR(INDEX('Com Measure Mapping'!$T:$T,MATCH($B19,'Com Measure Mapping'!$B:$B,0)),"N/A")</f>
        <v>4.6677798988400987</v>
      </c>
      <c r="L19" s="181" t="str">
        <f>IFERROR(INDEX('Com Measure Mapping'!$U:$U,MATCH($B19,'Com Measure Mapping'!$B:$B,0)),"N/A")</f>
        <v>1 kBtu/hr</v>
      </c>
      <c r="M19" s="182">
        <f>I19</f>
        <v>3.7987000000000002</v>
      </c>
      <c r="N19" s="67">
        <f>SUMIF('All TRC 2022 Measure Data'!$B:$B,C19,'All TRC 2022 Measure Data'!$W:$W)</f>
        <v>4297.7</v>
      </c>
      <c r="O19" s="184">
        <f>IFERROR(INDEX('Com Measure Mapping'!$Y:$Y,MATCH($B19,'Com Measure Mapping'!$B:$B,0)),"N/A")</f>
        <v>3146.9543637455163</v>
      </c>
      <c r="P19" s="184">
        <f>IFERROR(INDEX('Com Measure Mapping'!$Z:$Z,MATCH($B19,'Com Measure Mapping'!$B:$B,0)),"N/A")</f>
        <v>3472.1844687802422</v>
      </c>
      <c r="Q19" s="185">
        <f t="shared" si="1"/>
        <v>0.10334757592341948</v>
      </c>
      <c r="R19" s="186">
        <f t="shared" si="42"/>
        <v>4727</v>
      </c>
      <c r="S19" s="186">
        <f t="shared" si="9"/>
        <v>5216</v>
      </c>
      <c r="T19" s="168">
        <f t="shared" si="10"/>
        <v>19814.009999999998</v>
      </c>
      <c r="U19" s="67"/>
      <c r="V19" s="187">
        <f>IFERROR(INDEX('Com Measure Mapping'!$V:$V,MATCH($B19,'Com Measure Mapping'!$B:$B,0)),"N/A")</f>
        <v>2.5692857142857157</v>
      </c>
      <c r="W19" s="64">
        <v>2.5692857142857157</v>
      </c>
      <c r="X19" s="64">
        <f t="shared" si="11"/>
        <v>13401.394285714294</v>
      </c>
      <c r="Y19" s="64">
        <f t="shared" si="2"/>
        <v>1.3161273300943841</v>
      </c>
      <c r="Z19" s="64">
        <f t="shared" si="12"/>
        <v>6536.4741319419854</v>
      </c>
      <c r="AA19" s="52">
        <v>10</v>
      </c>
      <c r="AB19" s="189">
        <f>IFERROR(INDEX('Com Measure Mapping'!$W:$W,MATCH($B19,'Com Measure Mapping'!$B:$B,0)),"N/A")</f>
        <v>10</v>
      </c>
      <c r="AC19" s="188">
        <f t="shared" si="13"/>
        <v>10</v>
      </c>
      <c r="AD19" s="147">
        <f t="shared" si="3"/>
        <v>152553.71036151797</v>
      </c>
      <c r="AE19" s="145">
        <f t="shared" si="14"/>
        <v>51760.311887186188</v>
      </c>
      <c r="AF19" s="54">
        <v>3</v>
      </c>
      <c r="AG19" s="191">
        <f>IFERROR(INDEX('Com Measure Mapping'!$X:$X,MATCH($B19,'Com Measure Mapping'!$B:$B,0)),"N/A")</f>
        <v>1.1022368803602836</v>
      </c>
      <c r="AH19" s="54">
        <v>3</v>
      </c>
      <c r="AI19" s="145">
        <f t="shared" si="15"/>
        <v>15648</v>
      </c>
      <c r="AJ19" s="156">
        <f t="shared" si="4"/>
        <v>0.1025737096981631</v>
      </c>
      <c r="AK19" s="157">
        <f t="shared" si="5"/>
        <v>0.44186609245651032</v>
      </c>
      <c r="AL19" s="163">
        <f>IFERROR(IF($D$3="Original",IF($AI19=0,"-",(INDEX('APP 2885'!$G:$G,MATCH($C$2+$AA19-1,'APP 2885'!$A:$A,0))*$T19)/($AI19+$AE19)),IF($AI19=0,"-",(INDEX('APP 2885'!$G:$G,MATCH($C$2+$AC19-1,'APP 2885'!$A:$A,0))*$T19)/($AI19+$AE19))),"N/A")</f>
        <v>4.8234597708841225</v>
      </c>
      <c r="AM19" s="64">
        <f t="shared" si="6"/>
        <v>4.2847034768620264E-2</v>
      </c>
      <c r="AN19" s="64">
        <f t="shared" si="7"/>
        <v>0.38213941752696745</v>
      </c>
      <c r="AO19" s="163">
        <f>IFERROR(IF($D$3="Original",IF($Z19=0,"-",(INDEX('APP 2885'!$E:$E,MATCH($C$2+$AA19-1,'APP 2885'!$A:$A,0))*$T19)/(Z19+AE19)),IF($Z19=0,"-",(INDEX('APP 2885'!$E:$E,MATCH($C$2+$AC19-1,'APP 2885'!$A:$A,0))*$T19)/(Z19+AE19))),"N/A")</f>
        <v>5.070313520829405</v>
      </c>
    </row>
    <row r="20" spans="2:41" ht="13.5" thickBot="1">
      <c r="B20" s="142" t="str">
        <f t="shared" si="0"/>
        <v>Double Rack Oven_&gt;=50% Cooking Efficiency, &lt;=35,000 Btu/hr Idle Rate</v>
      </c>
      <c r="C20" s="135" t="s">
        <v>115</v>
      </c>
      <c r="D20" s="135" t="s">
        <v>23</v>
      </c>
      <c r="E20" s="135" t="s">
        <v>49</v>
      </c>
      <c r="F20" s="136" t="s">
        <v>50</v>
      </c>
      <c r="G20" s="136" t="str">
        <f t="shared" si="16"/>
        <v>&gt;=50% Cooking Efficiency, &lt;=35,000 Btu/hr Idle Rate</v>
      </c>
      <c r="H20" s="47">
        <f>COUNTIF('All TRC 2022 Measure Data'!$B:$B,C20)</f>
        <v>3</v>
      </c>
      <c r="I20" s="164">
        <v>1806</v>
      </c>
      <c r="J20" s="48" t="s">
        <v>21</v>
      </c>
      <c r="K20" s="164">
        <f>IFERROR(INDEX('Com Measure Mapping'!$T:$T,MATCH($B20,'Com Measure Mapping'!$B:$B,0)),"N/A")</f>
        <v>1977.8952877832098</v>
      </c>
      <c r="L20" s="66" t="str">
        <f>IFERROR(INDEX('Com Measure Mapping'!$U:$U,MATCH($B20,'Com Measure Mapping'!$B:$B,0)),"N/A")</f>
        <v>1 unit</v>
      </c>
      <c r="M20" s="183">
        <f t="shared" si="8"/>
        <v>1977.8952877832098</v>
      </c>
      <c r="N20" s="66">
        <f>SUMIF('All TRC 2022 Measure Data'!$B:$B,C20,'All TRC 2022 Measure Data'!$W:$W)</f>
        <v>3</v>
      </c>
      <c r="O20" s="165">
        <f>IFERROR(INDEX('Com Measure Mapping'!$Y:$Y,MATCH($B20,'Com Measure Mapping'!$B:$B,0)),"N/A")</f>
        <v>1.0639469776629653</v>
      </c>
      <c r="P20" s="165">
        <f>IFERROR(INDEX('Com Measure Mapping'!$Z:$Z,MATCH($B20,'Com Measure Mapping'!$B:$B,0)),"N/A")</f>
        <v>1.5833281880811025</v>
      </c>
      <c r="Q20" s="167">
        <f t="shared" si="1"/>
        <v>0.48816456207149977</v>
      </c>
      <c r="R20" s="166">
        <f t="shared" si="42"/>
        <v>3</v>
      </c>
      <c r="S20" s="166">
        <f t="shared" si="9"/>
        <v>4</v>
      </c>
      <c r="T20" s="192">
        <f t="shared" si="10"/>
        <v>7911.58</v>
      </c>
      <c r="U20" s="66"/>
      <c r="V20" s="143">
        <f>IFERROR(INDEX('Com Measure Mapping'!$V:$V,MATCH($B20,'Com Measure Mapping'!$B:$B,0)),"N/A")</f>
        <v>4434.63</v>
      </c>
      <c r="W20" s="63">
        <v>4434.63</v>
      </c>
      <c r="X20" s="63">
        <f t="shared" si="11"/>
        <v>17738.52</v>
      </c>
      <c r="Y20" s="63">
        <f t="shared" si="2"/>
        <v>786.21352519650179</v>
      </c>
      <c r="Z20" s="63">
        <f t="shared" si="12"/>
        <v>14593.665899213993</v>
      </c>
      <c r="AA20" s="47">
        <v>12</v>
      </c>
      <c r="AB20" s="47">
        <f>IFERROR(INDEX('Com Measure Mapping'!$W:$W,MATCH($B20,'Com Measure Mapping'!$B:$B,0)),"N/A")</f>
        <v>12</v>
      </c>
      <c r="AC20" s="190">
        <f t="shared" si="13"/>
        <v>12</v>
      </c>
      <c r="AD20" s="146">
        <f t="shared" si="3"/>
        <v>69885.636515791484</v>
      </c>
      <c r="AE20" s="144">
        <f t="shared" si="14"/>
        <v>20667.489736828866</v>
      </c>
      <c r="AF20" s="49">
        <v>2500</v>
      </c>
      <c r="AG20" s="49">
        <f>IFERROR(INDEX('Com Measure Mapping'!$X:$X,MATCH($B20,'Com Measure Mapping'!$B:$B,0)),"N/A")</f>
        <v>2685.7005208333335</v>
      </c>
      <c r="AH20" s="49">
        <v>2700</v>
      </c>
      <c r="AI20" s="144">
        <f t="shared" si="15"/>
        <v>10800</v>
      </c>
      <c r="AJ20" s="154">
        <f t="shared" si="4"/>
        <v>0.15453819323173243</v>
      </c>
      <c r="AK20" s="155">
        <f t="shared" si="5"/>
        <v>0.45027120458033482</v>
      </c>
      <c r="AL20" s="70">
        <f>IFERROR(IF($D$3="Original",IF($AI20=0,"-",(INDEX('APP 2885'!$G:$G,MATCH($C$2+$AA20-1,'APP 2885'!$A:$A,0))*$T20)/($AI20+$AE20)),IF($AI20=0,"-",(INDEX('APP 2885'!$G:$G,MATCH($C$2+$AC20-1,'APP 2885'!$A:$A,0))*$T20)/($AI20+$AE20))),"N/A")</f>
        <v>4.8877538436572783</v>
      </c>
      <c r="AM20" s="63">
        <f t="shared" si="6"/>
        <v>0.20882210747148852</v>
      </c>
      <c r="AN20" s="63">
        <f t="shared" si="7"/>
        <v>0.50455511882009096</v>
      </c>
      <c r="AO20" s="70">
        <f>IFERROR(IF($D$3="Original",IF($Z20=0,"-",(INDEX('APP 2885'!$E:$E,MATCH($C$2+$AA20-1,'APP 2885'!$A:$A,0))*$T20)/(Z20+AE20)),IF($Z20=0,"-",(INDEX('APP 2885'!$E:$E,MATCH($C$2+$AC20-1,'APP 2885'!$A:$A,0))*$T20)/(Z20+AE20))),"N/A")</f>
        <v>3.9653561375782065</v>
      </c>
    </row>
    <row r="21" spans="2:41" ht="13.5" thickBot="1">
      <c r="B21" s="142" t="str">
        <f t="shared" si="0"/>
        <v>Energy Saver Kit A_PRSV &lt;=1 gpm / Aerators &lt;=.75 gpm</v>
      </c>
      <c r="C21" s="137" t="s">
        <v>116</v>
      </c>
      <c r="D21" s="137" t="s">
        <v>41</v>
      </c>
      <c r="E21" s="137" t="s">
        <v>219</v>
      </c>
      <c r="F21" s="138" t="s">
        <v>42</v>
      </c>
      <c r="G21" s="138" t="str">
        <f t="shared" si="16"/>
        <v>PRSV &lt;=1 gpm / Aerators &lt;=.75 gpm</v>
      </c>
      <c r="H21" s="52">
        <f>COUNTIF('All TRC 2022 Measure Data'!$B:$B,C21)</f>
        <v>0</v>
      </c>
      <c r="I21" s="162">
        <v>89</v>
      </c>
      <c r="J21" s="53" t="s">
        <v>43</v>
      </c>
      <c r="K21" s="180" t="str">
        <f>IFERROR(INDEX('Com Measure Mapping'!$T:$T,MATCH($B21,'Com Measure Mapping'!$B:$B,0)),"N/A")</f>
        <v>N/A</v>
      </c>
      <c r="L21" s="181" t="str">
        <f>IFERROR(INDEX('Com Measure Mapping'!$U:$U,MATCH($B21,'Com Measure Mapping'!$B:$B,0)),"N/A")</f>
        <v>N/A</v>
      </c>
      <c r="M21" s="182">
        <f t="shared" si="8"/>
        <v>89</v>
      </c>
      <c r="N21" s="67">
        <f>SUMIF('All TRC 2022 Measure Data'!$B:$B,C21,'All TRC 2022 Measure Data'!$W:$W)</f>
        <v>0</v>
      </c>
      <c r="O21" s="184" t="str">
        <f>IFERROR(INDEX('Com Measure Mapping'!$Y:$Y,MATCH($B21,'Com Measure Mapping'!$B:$B,0)),"N/A")</f>
        <v>N/A</v>
      </c>
      <c r="P21" s="184" t="str">
        <f>IFERROR(INDEX('Com Measure Mapping'!$Z:$Z,MATCH($B21,'Com Measure Mapping'!$B:$B,0)),"N/A")</f>
        <v>N/A</v>
      </c>
      <c r="Q21" s="185" t="str">
        <f t="shared" si="1"/>
        <v>N/A</v>
      </c>
      <c r="R21" s="186">
        <f t="shared" si="42"/>
        <v>0</v>
      </c>
      <c r="S21" s="186">
        <f t="shared" si="9"/>
        <v>0</v>
      </c>
      <c r="T21" s="168">
        <f t="shared" si="10"/>
        <v>0</v>
      </c>
      <c r="U21" s="67"/>
      <c r="V21" s="187" t="str">
        <f>IFERROR(INDEX('Com Measure Mapping'!$V:$V,MATCH($B21,'Com Measure Mapping'!$B:$B,0)),"N/A")</f>
        <v>N/A</v>
      </c>
      <c r="W21" s="64">
        <v>0</v>
      </c>
      <c r="X21" s="64">
        <f t="shared" si="11"/>
        <v>0</v>
      </c>
      <c r="Y21" s="64">
        <f t="shared" si="2"/>
        <v>17.310832645238996</v>
      </c>
      <c r="Z21" s="64">
        <f t="shared" si="12"/>
        <v>0</v>
      </c>
      <c r="AA21" s="52">
        <v>5</v>
      </c>
      <c r="AB21" s="189" t="str">
        <f>IFERROR(INDEX('Com Measure Mapping'!$W:$W,MATCH($B21,'Com Measure Mapping'!$B:$B,0)),"N/A")</f>
        <v>N/A</v>
      </c>
      <c r="AC21" s="188">
        <f t="shared" si="13"/>
        <v>5</v>
      </c>
      <c r="AD21" s="147">
        <f t="shared" si="3"/>
        <v>0</v>
      </c>
      <c r="AE21" s="145">
        <f t="shared" si="14"/>
        <v>0</v>
      </c>
      <c r="AF21" s="54">
        <v>0</v>
      </c>
      <c r="AG21" s="191" t="str">
        <f>IFERROR(INDEX('Com Measure Mapping'!$X:$X,MATCH($B21,'Com Measure Mapping'!$B:$B,0)),"N/A")</f>
        <v>N/A</v>
      </c>
      <c r="AH21" s="54">
        <v>0</v>
      </c>
      <c r="AI21" s="145">
        <f t="shared" si="15"/>
        <v>0</v>
      </c>
      <c r="AJ21" s="156">
        <f t="shared" si="4"/>
        <v>0</v>
      </c>
      <c r="AK21" s="157">
        <f t="shared" si="5"/>
        <v>0</v>
      </c>
      <c r="AL21" s="163" t="str">
        <f>IFERROR(IF($D$3="Original",IF($AI21=0,"-",(INDEX('APP 2885'!$G:$G,MATCH($C$2+$AA21-1,'APP 2885'!$A:$A,0))*$T21)/($AI21+$AE21)),IF($AI21=0,"-",(INDEX('APP 2885'!$G:$G,MATCH($C$2+$AC21-1,'APP 2885'!$A:$A,0))*$T21)/($AI21+$AE21))),"N/A")</f>
        <v>-</v>
      </c>
      <c r="AM21" s="64">
        <f t="shared" si="6"/>
        <v>0</v>
      </c>
      <c r="AN21" s="64">
        <f t="shared" si="7"/>
        <v>0</v>
      </c>
      <c r="AO21" s="163" t="str">
        <f>IFERROR(IF($D$3="Original",IF($Z21=0,"-",(INDEX('APP 2885'!$E:$E,MATCH($C$2+$AA21-1,'APP 2885'!$A:$A,0))*$T21)/(Z21+AE21)),IF($Z21=0,"-",(INDEX('APP 2885'!$E:$E,MATCH($C$2+$AC21-1,'APP 2885'!$A:$A,0))*$T21)/(Z21+AE21))),"N/A")</f>
        <v>-</v>
      </c>
    </row>
    <row r="22" spans="2:41" ht="13.5" thickBot="1">
      <c r="B22" s="142" t="str">
        <f t="shared" si="0"/>
        <v>Gas Conveyor Oven_&gt;=42% Baking Efficiency</v>
      </c>
      <c r="C22" s="135" t="s">
        <v>308</v>
      </c>
      <c r="D22" s="135" t="s">
        <v>29</v>
      </c>
      <c r="E22" s="135" t="s">
        <v>56</v>
      </c>
      <c r="F22" s="136" t="s">
        <v>57</v>
      </c>
      <c r="G22" s="136" t="str">
        <f t="shared" si="16"/>
        <v>&gt;=42% Baking Efficiency</v>
      </c>
      <c r="H22" s="47">
        <f>COUNTIF('All TRC 2022 Measure Data'!$B:$B,C22)</f>
        <v>0</v>
      </c>
      <c r="I22" s="164">
        <v>660.81060000000002</v>
      </c>
      <c r="J22" s="48" t="s">
        <v>48</v>
      </c>
      <c r="K22" s="164">
        <f>IFERROR(INDEX('Com Measure Mapping'!$T:$T,MATCH($B22,'Com Measure Mapping'!$B:$B,0)),"N/A")</f>
        <v>676.826654163699</v>
      </c>
      <c r="L22" s="66" t="str">
        <f>IFERROR(INDEX('Com Measure Mapping'!$U:$U,MATCH($B22,'Com Measure Mapping'!$B:$B,0)),"N/A")</f>
        <v>1 unit</v>
      </c>
      <c r="M22" s="183">
        <f t="shared" si="8"/>
        <v>676.826654163699</v>
      </c>
      <c r="N22" s="66">
        <f>SUMIF('All TRC 2022 Measure Data'!$B:$B,C22,'All TRC 2022 Measure Data'!$W:$W)</f>
        <v>0</v>
      </c>
      <c r="O22" s="165">
        <f>IFERROR(INDEX('Com Measure Mapping'!$Y:$Y,MATCH($B22,'Com Measure Mapping'!$B:$B,0)),"N/A")</f>
        <v>6.7965408084195295E-2</v>
      </c>
      <c r="P22" s="165">
        <f>IFERROR(INDEX('Com Measure Mapping'!$Z:$Z,MATCH($B22,'Com Measure Mapping'!$B:$B,0)),"N/A")</f>
        <v>0.25436652970833951</v>
      </c>
      <c r="Q22" s="167">
        <f t="shared" si="1"/>
        <v>2.7425881323809782</v>
      </c>
      <c r="R22" s="166">
        <f t="shared" si="42"/>
        <v>0</v>
      </c>
      <c r="S22" s="166">
        <f t="shared" si="9"/>
        <v>0</v>
      </c>
      <c r="T22" s="192">
        <f t="shared" si="10"/>
        <v>0</v>
      </c>
      <c r="U22" s="66"/>
      <c r="V22" s="143">
        <f>IFERROR(INDEX('Com Measure Mapping'!$V:$V,MATCH($B22,'Com Measure Mapping'!$B:$B,0)),"N/A")</f>
        <v>2314.5436363636363</v>
      </c>
      <c r="W22" s="63">
        <v>2314.5436363636363</v>
      </c>
      <c r="X22" s="63">
        <f t="shared" si="11"/>
        <v>0</v>
      </c>
      <c r="Y22" s="63">
        <f t="shared" si="2"/>
        <v>341.84288146168177</v>
      </c>
      <c r="Z22" s="63">
        <f t="shared" si="12"/>
        <v>0</v>
      </c>
      <c r="AA22" s="47">
        <v>17</v>
      </c>
      <c r="AB22" s="47">
        <f>IFERROR(INDEX('Com Measure Mapping'!$W:$W,MATCH($B22,'Com Measure Mapping'!$B:$B,0)),"N/A")</f>
        <v>17</v>
      </c>
      <c r="AC22" s="190">
        <f t="shared" si="13"/>
        <v>17</v>
      </c>
      <c r="AD22" s="146">
        <f t="shared" si="3"/>
        <v>0</v>
      </c>
      <c r="AE22" s="144">
        <f t="shared" si="14"/>
        <v>0</v>
      </c>
      <c r="AF22" s="49">
        <v>700</v>
      </c>
      <c r="AG22" s="49">
        <f>IFERROR(INDEX('Com Measure Mapping'!$X:$X,MATCH($B22,'Com Measure Mapping'!$B:$B,0)),"N/A")</f>
        <v>467.06037505095804</v>
      </c>
      <c r="AH22" s="49">
        <v>700</v>
      </c>
      <c r="AI22" s="144">
        <f t="shared" si="15"/>
        <v>0</v>
      </c>
      <c r="AJ22" s="154">
        <f t="shared" si="4"/>
        <v>0</v>
      </c>
      <c r="AK22" s="155">
        <f t="shared" si="5"/>
        <v>0</v>
      </c>
      <c r="AL22" s="70" t="str">
        <f>IFERROR(IF($D$3="Original",IF($AI22=0,"-",(INDEX('APP 2885'!$G:$G,MATCH($C$2+$AA22-1,'APP 2885'!$A:$A,0))*$T22)/($AI22+$AE22)),IF($AI22=0,"-",(INDEX('APP 2885'!$G:$G,MATCH($C$2+$AC22-1,'APP 2885'!$A:$A,0))*$T22)/($AI22+$AE22))),"N/A")</f>
        <v>-</v>
      </c>
      <c r="AM22" s="63">
        <f t="shared" si="6"/>
        <v>0</v>
      </c>
      <c r="AN22" s="63">
        <f t="shared" si="7"/>
        <v>0</v>
      </c>
      <c r="AO22" s="70" t="str">
        <f>IFERROR(IF($D$3="Original",IF($Z22=0,"-",(INDEX('APP 2885'!$E:$E,MATCH($C$2+$AA22-1,'APP 2885'!$A:$A,0))*$T22)/(Z22+AE22)),IF($Z22=0,"-",(INDEX('APP 2885'!$E:$E,MATCH($C$2+$AC22-1,'APP 2885'!$A:$A,0))*$T22)/(Z22+AE22))),"N/A")</f>
        <v>-</v>
      </c>
    </row>
    <row r="23" spans="2:41" ht="13.5" thickBot="1">
      <c r="B23" s="142" t="str">
        <f t="shared" si="0"/>
        <v>Griddle (Grocery)_&gt;=38% Cooking Efficiency,&lt;= 2650 Btu/hr-sq ft Idle Rate</v>
      </c>
      <c r="C23" s="137" t="s">
        <v>309</v>
      </c>
      <c r="D23" s="137" t="s">
        <v>845</v>
      </c>
      <c r="E23" s="137" t="s">
        <v>9</v>
      </c>
      <c r="F23" s="138" t="s">
        <v>52</v>
      </c>
      <c r="G23" s="138" t="str">
        <f t="shared" si="16"/>
        <v>&gt;=38% Cooking Efficiency,&lt;= 2650 Btu/hr-sq ft Idle Rate</v>
      </c>
      <c r="H23" s="52">
        <f>COUNTIF('All TRC 2022 Measure Data'!$B:$B,C23)</f>
        <v>0</v>
      </c>
      <c r="I23" s="162">
        <v>155</v>
      </c>
      <c r="J23" s="53" t="s">
        <v>53</v>
      </c>
      <c r="K23" s="180">
        <f>IFERROR(INDEX('Com Measure Mapping'!$T:$T,MATCH($B23,'Com Measure Mapping'!$B:$B,0)),"N/A")</f>
        <v>172.06968037523859</v>
      </c>
      <c r="L23" s="181" t="str">
        <f>IFERROR(INDEX('Com Measure Mapping'!$U:$U,MATCH($B23,'Com Measure Mapping'!$B:$B,0)),"N/A")</f>
        <v>1 unit</v>
      </c>
      <c r="M23" s="182">
        <f t="shared" ref="M23:M29" si="43">I23</f>
        <v>155</v>
      </c>
      <c r="N23" s="67">
        <f>SUMIF('All TRC 2022 Measure Data'!$B:$B,C23,'All TRC 2022 Measure Data'!$W:$W)</f>
        <v>0</v>
      </c>
      <c r="O23" s="184">
        <f>IFERROR(INDEX('Com Measure Mapping'!$Y:$Y,MATCH($B23,'Com Measure Mapping'!$B:$B,0)),"N/A")</f>
        <v>0.3447745439022854</v>
      </c>
      <c r="P23" s="184">
        <f>IFERROR(INDEX('Com Measure Mapping'!$Z:$Z,MATCH($B23,'Com Measure Mapping'!$B:$B,0)),"N/A")</f>
        <v>0.48822108916026641</v>
      </c>
      <c r="Q23" s="185">
        <f t="shared" si="1"/>
        <v>0.41605898055697538</v>
      </c>
      <c r="R23" s="186">
        <f t="shared" si="42"/>
        <v>0</v>
      </c>
      <c r="S23" s="186">
        <f t="shared" si="9"/>
        <v>0</v>
      </c>
      <c r="T23" s="168">
        <f t="shared" si="10"/>
        <v>0</v>
      </c>
      <c r="U23" s="67"/>
      <c r="V23" s="187">
        <f>IFERROR(INDEX('Com Measure Mapping'!$V:$V,MATCH($B23,'Com Measure Mapping'!$B:$B,0)),"N/A")</f>
        <v>404.88</v>
      </c>
      <c r="W23" s="64">
        <v>1048</v>
      </c>
      <c r="X23" s="64">
        <f t="shared" si="11"/>
        <v>0</v>
      </c>
      <c r="Y23" s="64">
        <f t="shared" si="2"/>
        <v>61.612511621906833</v>
      </c>
      <c r="Z23" s="64">
        <f t="shared" si="12"/>
        <v>0</v>
      </c>
      <c r="AA23" s="52">
        <v>12</v>
      </c>
      <c r="AB23" s="189">
        <f>IFERROR(INDEX('Com Measure Mapping'!$W:$W,MATCH($B23,'Com Measure Mapping'!$B:$B,0)),"N/A")</f>
        <v>12</v>
      </c>
      <c r="AC23" s="188">
        <f t="shared" si="13"/>
        <v>12</v>
      </c>
      <c r="AD23" s="147">
        <f t="shared" si="3"/>
        <v>0</v>
      </c>
      <c r="AE23" s="145">
        <f t="shared" si="14"/>
        <v>0</v>
      </c>
      <c r="AF23" s="54">
        <v>600</v>
      </c>
      <c r="AG23" s="191">
        <f>IFERROR(INDEX('Com Measure Mapping'!$X:$X,MATCH($B23,'Com Measure Mapping'!$B:$B,0)),"N/A")</f>
        <v>404.87810000000002</v>
      </c>
      <c r="AH23" s="54">
        <v>600</v>
      </c>
      <c r="AI23" s="145">
        <f t="shared" si="15"/>
        <v>0</v>
      </c>
      <c r="AJ23" s="156">
        <f t="shared" si="4"/>
        <v>0</v>
      </c>
      <c r="AK23" s="157">
        <f t="shared" si="5"/>
        <v>0</v>
      </c>
      <c r="AL23" s="163" t="str">
        <f>IFERROR(IF($D$3="Original",IF($AI23=0,"-",(INDEX('APP 2885'!$G:$G,MATCH($C$2+$AA23-1,'APP 2885'!$A:$A,0))*$T23)/($AI23+$AE23)),IF($AI23=0,"-",(INDEX('APP 2885'!$G:$G,MATCH($C$2+$AC23-1,'APP 2885'!$A:$A,0))*$T23)/($AI23+$AE23))),"N/A")</f>
        <v>-</v>
      </c>
      <c r="AM23" s="64">
        <f t="shared" si="6"/>
        <v>0</v>
      </c>
      <c r="AN23" s="64">
        <f t="shared" si="7"/>
        <v>0</v>
      </c>
      <c r="AO23" s="163" t="str">
        <f>IFERROR(IF($D$3="Original",IF($Z23=0,"-",(INDEX('APP 2885'!$E:$E,MATCH($C$2+$AA23-1,'APP 2885'!$A:$A,0))*$T23)/(Z23+AE23)),IF($Z23=0,"-",(INDEX('APP 2885'!$E:$E,MATCH($C$2+$AC23-1,'APP 2885'!$A:$A,0))*$T23)/(Z23+AE23))),"N/A")</f>
        <v>-</v>
      </c>
    </row>
    <row r="24" spans="2:41" ht="13.5" thickBot="1">
      <c r="B24" s="142" t="str">
        <f t="shared" ref="B24:B26" si="44">D24&amp;"_"&amp;F24</f>
        <v>Griddle (Lodging)_&gt;=38% Cooking Efficiency,&lt;= 2650 Btu/hr-sq ft Idle Rate</v>
      </c>
      <c r="C24" s="135" t="s">
        <v>849</v>
      </c>
      <c r="D24" s="135" t="s">
        <v>89</v>
      </c>
      <c r="E24" s="135" t="s">
        <v>9</v>
      </c>
      <c r="F24" s="136" t="s">
        <v>52</v>
      </c>
      <c r="G24" s="136" t="str">
        <f t="shared" ref="G24:G26" si="45">F24</f>
        <v>&gt;=38% Cooking Efficiency,&lt;= 2650 Btu/hr-sq ft Idle Rate</v>
      </c>
      <c r="H24" s="47">
        <f>COUNTIF('All TRC 2022 Measure Data'!$B:$B,C24)</f>
        <v>0</v>
      </c>
      <c r="I24" s="164">
        <v>92</v>
      </c>
      <c r="J24" s="48" t="s">
        <v>53</v>
      </c>
      <c r="K24" s="164">
        <f>IFERROR(INDEX('Com Measure Mapping'!$T:$T,MATCH($B24,'Com Measure Mapping'!$B:$B,0)),"N/A")</f>
        <v>172.06968037523845</v>
      </c>
      <c r="L24" s="66" t="str">
        <f>IFERROR(INDEX('Com Measure Mapping'!$U:$U,MATCH($B24,'Com Measure Mapping'!$B:$B,0)),"N/A")</f>
        <v>1 unit</v>
      </c>
      <c r="M24" s="183">
        <f t="shared" si="43"/>
        <v>92</v>
      </c>
      <c r="N24" s="66">
        <f>SUMIF('All TRC 2022 Measure Data'!$B:$B,C24,'All TRC 2022 Measure Data'!$W:$W)</f>
        <v>0</v>
      </c>
      <c r="O24" s="165">
        <f>IFERROR(INDEX('Com Measure Mapping'!$Y:$Y,MATCH($B24,'Com Measure Mapping'!$B:$B,0)),"N/A")</f>
        <v>9.8249748420552174E-2</v>
      </c>
      <c r="P24" s="165">
        <f>IFERROR(INDEX('Com Measure Mapping'!$Z:$Z,MATCH($B24,'Com Measure Mapping'!$B:$B,0)),"N/A")</f>
        <v>0.13912743858838639</v>
      </c>
      <c r="Q24" s="167">
        <f t="shared" ref="Q24:Q26" si="46">IFERROR((P24-O24)/O24,"N/A")</f>
        <v>0.4160589805569751</v>
      </c>
      <c r="R24" s="166">
        <f t="shared" ref="R24:R26" si="47">ROUND((N24/(6/12))*0.55,0)</f>
        <v>0</v>
      </c>
      <c r="S24" s="166">
        <f t="shared" ref="S24:S26" si="48">ROUND(IFERROR((R24*IF(Q24&gt;50%,(1+(Q24-19.5%)),(1+Q24))),R24),0)</f>
        <v>0</v>
      </c>
      <c r="T24" s="192">
        <f t="shared" ref="T24:T26" si="49">IF($D$3="Original",ROUNDDOWN(I24*N24,2),ROUNDDOWN(M24*S24,2))</f>
        <v>0</v>
      </c>
      <c r="U24" s="66"/>
      <c r="V24" s="143">
        <f>IFERROR(INDEX('Com Measure Mapping'!$V:$V,MATCH($B24,'Com Measure Mapping'!$B:$B,0)),"N/A")</f>
        <v>404.88</v>
      </c>
      <c r="W24" s="63">
        <v>1048</v>
      </c>
      <c r="X24" s="63">
        <f t="shared" ref="X24:X26" si="50">IF($D$3="Original",N24*U24,S24*W24)</f>
        <v>0</v>
      </c>
      <c r="Y24" s="63">
        <f t="shared" si="2"/>
        <v>36.570006898164053</v>
      </c>
      <c r="Z24" s="63">
        <f t="shared" ref="Z24:Z26" si="51">IF($D$3="Original",MAX(0,N24*(U24-Y24)),MAX(0,S24*(W24-Y24)))</f>
        <v>0</v>
      </c>
      <c r="AA24" s="47">
        <v>12</v>
      </c>
      <c r="AB24" s="47">
        <f>IFERROR(INDEX('Com Measure Mapping'!$W:$W,MATCH($B24,'Com Measure Mapping'!$B:$B,0)),"N/A")</f>
        <v>12</v>
      </c>
      <c r="AC24" s="190">
        <f t="shared" ref="AC24:AC26" si="52">IF(AB24="N/A",AA24,AB24)</f>
        <v>12</v>
      </c>
      <c r="AD24" s="146">
        <f t="shared" ref="AD24:AD26" si="53">IF($D$3="Original",PV($D$54,AA24,-T24),PV($D$54,AC24,-T24))</f>
        <v>0</v>
      </c>
      <c r="AE24" s="144">
        <f t="shared" ref="AE24:AE26" si="54">$D$57*T24/SUM($T$5:$T$42)</f>
        <v>0</v>
      </c>
      <c r="AF24" s="49">
        <v>600</v>
      </c>
      <c r="AG24" s="49">
        <f>IFERROR(INDEX('Com Measure Mapping'!$X:$X,MATCH($B24,'Com Measure Mapping'!$B:$B,0)),"N/A")</f>
        <v>404.87810000000002</v>
      </c>
      <c r="AH24" s="49">
        <v>600</v>
      </c>
      <c r="AI24" s="144">
        <f t="shared" ref="AI24:AI26" si="55">IF($D$3="Original",N24*AF24,S24*AH24)</f>
        <v>0</v>
      </c>
      <c r="AJ24" s="154">
        <f t="shared" ref="AJ24:AJ26" si="56">IF(ISERROR(AI24/AD24),0,AI24/AD24)</f>
        <v>0</v>
      </c>
      <c r="AK24" s="155">
        <f t="shared" ref="AK24:AK26" si="57">IF(AD24=0,0,(AI24+AE24)/AD24)</f>
        <v>0</v>
      </c>
      <c r="AL24" s="70" t="str">
        <f>IFERROR(IF($D$3="Original",IF($AI24=0,"-",(INDEX('APP 2885'!$G:$G,MATCH($C$2+$AA24-1,'APP 2885'!$A:$A,0))*$T24)/($AI24+$AE24)),IF($AI24=0,"-",(INDEX('APP 2885'!$G:$G,MATCH($C$2+$AC24-1,'APP 2885'!$A:$A,0))*$T24)/($AI24+$AE24))),"N/A")</f>
        <v>-</v>
      </c>
      <c r="AM24" s="63">
        <f t="shared" ref="AM24:AM26" si="58">IF(ISERROR(Z24/AD24),0,Z24/AD24)</f>
        <v>0</v>
      </c>
      <c r="AN24" s="63">
        <f t="shared" ref="AN24:AN26" si="59">IF(AD24=0,0,(Z24+AE24)/AD24)</f>
        <v>0</v>
      </c>
      <c r="AO24" s="70" t="str">
        <f>IFERROR(IF($D$3="Original",IF($Z24=0,"-",(INDEX('APP 2885'!$E:$E,MATCH($C$2+$AA24-1,'APP 2885'!$A:$A,0))*$T24)/(Z24+AE24)),IF($Z24=0,"-",(INDEX('APP 2885'!$E:$E,MATCH($C$2+$AC24-1,'APP 2885'!$A:$A,0))*$T24)/(Z24+AE24))),"N/A")</f>
        <v>-</v>
      </c>
    </row>
    <row r="25" spans="2:41" ht="13.5" thickBot="1">
      <c r="B25" s="142" t="str">
        <f t="shared" si="44"/>
        <v>Griddle (Restaurant)_&gt;=38% Cooking Efficiency,&lt;= 2650 Btu/hr-sq ft Idle Rate</v>
      </c>
      <c r="C25" s="137" t="s">
        <v>850</v>
      </c>
      <c r="D25" s="137" t="s">
        <v>51</v>
      </c>
      <c r="E25" s="137" t="s">
        <v>9</v>
      </c>
      <c r="F25" s="138" t="s">
        <v>52</v>
      </c>
      <c r="G25" s="138" t="str">
        <f t="shared" si="45"/>
        <v>&gt;=38% Cooking Efficiency,&lt;= 2650 Btu/hr-sq ft Idle Rate</v>
      </c>
      <c r="H25" s="52">
        <f>COUNTIF('All TRC 2022 Measure Data'!$B:$B,C25)</f>
        <v>0</v>
      </c>
      <c r="I25" s="162">
        <v>273</v>
      </c>
      <c r="J25" s="53" t="s">
        <v>53</v>
      </c>
      <c r="K25" s="180">
        <f>IFERROR(INDEX('Com Measure Mapping'!$T:$T,MATCH($B25,'Com Measure Mapping'!$B:$B,0)),"N/A")</f>
        <v>172.06968037523851</v>
      </c>
      <c r="L25" s="181" t="str">
        <f>IFERROR(INDEX('Com Measure Mapping'!$U:$U,MATCH($B25,'Com Measure Mapping'!$B:$B,0)),"N/A")</f>
        <v>1 unit</v>
      </c>
      <c r="M25" s="182">
        <f t="shared" si="43"/>
        <v>273</v>
      </c>
      <c r="N25" s="67">
        <f>SUMIF('All TRC 2022 Measure Data'!$B:$B,C25,'All TRC 2022 Measure Data'!$W:$W)</f>
        <v>0</v>
      </c>
      <c r="O25" s="184">
        <f>IFERROR(INDEX('Com Measure Mapping'!$Y:$Y,MATCH($B25,'Com Measure Mapping'!$B:$B,0)),"N/A")</f>
        <v>6.4570273192920062</v>
      </c>
      <c r="P25" s="184">
        <f>IFERROR(INDEX('Com Measure Mapping'!$Z:$Z,MATCH($B25,'Com Measure Mapping'!$B:$B,0)),"N/A")</f>
        <v>9.1435315231851764</v>
      </c>
      <c r="Q25" s="185">
        <f t="shared" si="46"/>
        <v>0.41605898055697516</v>
      </c>
      <c r="R25" s="186">
        <f t="shared" si="47"/>
        <v>0</v>
      </c>
      <c r="S25" s="186">
        <f t="shared" si="48"/>
        <v>0</v>
      </c>
      <c r="T25" s="168">
        <f t="shared" si="49"/>
        <v>0</v>
      </c>
      <c r="U25" s="67"/>
      <c r="V25" s="187">
        <f>IFERROR(INDEX('Com Measure Mapping'!$V:$V,MATCH($B25,'Com Measure Mapping'!$B:$B,0)),"N/A")</f>
        <v>404.88</v>
      </c>
      <c r="W25" s="64">
        <v>1048</v>
      </c>
      <c r="X25" s="64">
        <f t="shared" si="50"/>
        <v>0</v>
      </c>
      <c r="Y25" s="64">
        <f t="shared" si="2"/>
        <v>108.51752046955204</v>
      </c>
      <c r="Z25" s="64">
        <f t="shared" si="51"/>
        <v>0</v>
      </c>
      <c r="AA25" s="52">
        <v>12</v>
      </c>
      <c r="AB25" s="189">
        <f>IFERROR(INDEX('Com Measure Mapping'!$W:$W,MATCH($B25,'Com Measure Mapping'!$B:$B,0)),"N/A")</f>
        <v>12</v>
      </c>
      <c r="AC25" s="188">
        <f t="shared" si="52"/>
        <v>12</v>
      </c>
      <c r="AD25" s="147">
        <f t="shared" si="53"/>
        <v>0</v>
      </c>
      <c r="AE25" s="145">
        <f t="shared" si="54"/>
        <v>0</v>
      </c>
      <c r="AF25" s="54">
        <v>600</v>
      </c>
      <c r="AG25" s="191">
        <f>IFERROR(INDEX('Com Measure Mapping'!$X:$X,MATCH($B25,'Com Measure Mapping'!$B:$B,0)),"N/A")</f>
        <v>404.87810000000002</v>
      </c>
      <c r="AH25" s="54">
        <v>600</v>
      </c>
      <c r="AI25" s="145">
        <f t="shared" si="55"/>
        <v>0</v>
      </c>
      <c r="AJ25" s="156">
        <f t="shared" si="56"/>
        <v>0</v>
      </c>
      <c r="AK25" s="157">
        <f t="shared" si="57"/>
        <v>0</v>
      </c>
      <c r="AL25" s="163" t="str">
        <f>IFERROR(IF($D$3="Original",IF($AI25=0,"-",(INDEX('APP 2885'!$G:$G,MATCH($C$2+$AA25-1,'APP 2885'!$A:$A,0))*$T25)/($AI25+$AE25)),IF($AI25=0,"-",(INDEX('APP 2885'!$G:$G,MATCH($C$2+$AC25-1,'APP 2885'!$A:$A,0))*$T25)/($AI25+$AE25))),"N/A")</f>
        <v>-</v>
      </c>
      <c r="AM25" s="64">
        <f t="shared" si="58"/>
        <v>0</v>
      </c>
      <c r="AN25" s="64">
        <f t="shared" si="59"/>
        <v>0</v>
      </c>
      <c r="AO25" s="163" t="str">
        <f>IFERROR(IF($D$3="Original",IF($Z25=0,"-",(INDEX('APP 2885'!$E:$E,MATCH($C$2+$AA25-1,'APP 2885'!$A:$A,0))*$T25)/(Z25+AE25)),IF($Z25=0,"-",(INDEX('APP 2885'!$E:$E,MATCH($C$2+$AC25-1,'APP 2885'!$A:$A,0))*$T25)/(Z25+AE25))),"N/A")</f>
        <v>-</v>
      </c>
    </row>
    <row r="26" spans="2:41" ht="13.5" thickBot="1">
      <c r="B26" s="142" t="str">
        <f t="shared" si="44"/>
        <v>Griddle (School)_&gt;=38% Cooking Efficiency,&lt;= 2650 Btu/hr-sq ft Idle Rate</v>
      </c>
      <c r="C26" s="135" t="s">
        <v>851</v>
      </c>
      <c r="D26" s="135" t="s">
        <v>90</v>
      </c>
      <c r="E26" s="135" t="s">
        <v>9</v>
      </c>
      <c r="F26" s="136" t="s">
        <v>52</v>
      </c>
      <c r="G26" s="136" t="str">
        <f t="shared" si="45"/>
        <v>&gt;=38% Cooking Efficiency,&lt;= 2650 Btu/hr-sq ft Idle Rate</v>
      </c>
      <c r="H26" s="47">
        <f>COUNTIF('All TRC 2022 Measure Data'!$B:$B,C26)</f>
        <v>0</v>
      </c>
      <c r="I26" s="164">
        <v>59</v>
      </c>
      <c r="J26" s="48" t="s">
        <v>53</v>
      </c>
      <c r="K26" s="164">
        <f>IFERROR(INDEX('Com Measure Mapping'!$T:$T,MATCH($B26,'Com Measure Mapping'!$B:$B,0)),"N/A")</f>
        <v>172.06968037523848</v>
      </c>
      <c r="L26" s="66" t="str">
        <f>IFERROR(INDEX('Com Measure Mapping'!$U:$U,MATCH($B26,'Com Measure Mapping'!$B:$B,0)),"N/A")</f>
        <v>1 unit</v>
      </c>
      <c r="M26" s="183">
        <f t="shared" si="43"/>
        <v>59</v>
      </c>
      <c r="N26" s="66">
        <f>SUMIF('All TRC 2022 Measure Data'!$B:$B,C26,'All TRC 2022 Measure Data'!$W:$W)</f>
        <v>0</v>
      </c>
      <c r="O26" s="165">
        <f>IFERROR(INDEX('Com Measure Mapping'!$Y:$Y,MATCH($B26,'Com Measure Mapping'!$B:$B,0)),"N/A")</f>
        <v>7.5137336679296819E-3</v>
      </c>
      <c r="P26" s="165">
        <f>IFERROR(INDEX('Com Measure Mapping'!$Z:$Z,MATCH($B26,'Com Measure Mapping'!$B:$B,0)),"N/A")</f>
        <v>1.0639890037985126E-2</v>
      </c>
      <c r="Q26" s="167">
        <f t="shared" si="46"/>
        <v>0.41605898055697504</v>
      </c>
      <c r="R26" s="166">
        <f t="shared" si="47"/>
        <v>0</v>
      </c>
      <c r="S26" s="166">
        <f t="shared" si="48"/>
        <v>0</v>
      </c>
      <c r="T26" s="192">
        <f t="shared" si="49"/>
        <v>0</v>
      </c>
      <c r="U26" s="66"/>
      <c r="V26" s="143">
        <f>IFERROR(INDEX('Com Measure Mapping'!$V:$V,MATCH($B26,'Com Measure Mapping'!$B:$B,0)),"N/A")</f>
        <v>404.88</v>
      </c>
      <c r="W26" s="63">
        <v>1048</v>
      </c>
      <c r="X26" s="63">
        <f t="shared" si="50"/>
        <v>0</v>
      </c>
      <c r="Y26" s="63">
        <f t="shared" si="2"/>
        <v>23.452504423822599</v>
      </c>
      <c r="Z26" s="63">
        <f t="shared" si="51"/>
        <v>0</v>
      </c>
      <c r="AA26" s="47">
        <v>12</v>
      </c>
      <c r="AB26" s="47">
        <f>IFERROR(INDEX('Com Measure Mapping'!$W:$W,MATCH($B26,'Com Measure Mapping'!$B:$B,0)),"N/A")</f>
        <v>12</v>
      </c>
      <c r="AC26" s="190">
        <f t="shared" si="52"/>
        <v>12</v>
      </c>
      <c r="AD26" s="146">
        <f t="shared" si="53"/>
        <v>0</v>
      </c>
      <c r="AE26" s="144">
        <f t="shared" si="54"/>
        <v>0</v>
      </c>
      <c r="AF26" s="49">
        <v>600</v>
      </c>
      <c r="AG26" s="49">
        <f>IFERROR(INDEX('Com Measure Mapping'!$X:$X,MATCH($B26,'Com Measure Mapping'!$B:$B,0)),"N/A")</f>
        <v>404.87810000000002</v>
      </c>
      <c r="AH26" s="49">
        <v>600</v>
      </c>
      <c r="AI26" s="144">
        <f t="shared" si="55"/>
        <v>0</v>
      </c>
      <c r="AJ26" s="154">
        <f t="shared" si="56"/>
        <v>0</v>
      </c>
      <c r="AK26" s="155">
        <f t="shared" si="57"/>
        <v>0</v>
      </c>
      <c r="AL26" s="70" t="str">
        <f>IFERROR(IF($D$3="Original",IF($AI26=0,"-",(INDEX('APP 2885'!$G:$G,MATCH($C$2+$AA26-1,'APP 2885'!$A:$A,0))*$T26)/($AI26+$AE26)),IF($AI26=0,"-",(INDEX('APP 2885'!$G:$G,MATCH($C$2+$AC26-1,'APP 2885'!$A:$A,0))*$T26)/($AI26+$AE26))),"N/A")</f>
        <v>-</v>
      </c>
      <c r="AM26" s="63">
        <f t="shared" si="58"/>
        <v>0</v>
      </c>
      <c r="AN26" s="63">
        <f t="shared" si="59"/>
        <v>0</v>
      </c>
      <c r="AO26" s="70" t="str">
        <f>IFERROR(IF($D$3="Original",IF($Z26=0,"-",(INDEX('APP 2885'!$E:$E,MATCH($C$2+$AA26-1,'APP 2885'!$A:$A,0))*$T26)/(Z26+AE26)),IF($Z26=0,"-",(INDEX('APP 2885'!$E:$E,MATCH($C$2+$AC26-1,'APP 2885'!$A:$A,0))*$T26)/(Z26+AE26))),"N/A")</f>
        <v>-</v>
      </c>
    </row>
    <row r="27" spans="2:41" ht="13.5" thickBot="1">
      <c r="B27" s="142" t="str">
        <f t="shared" si="0"/>
        <v>HVAC Unit Heater - Condensing_Minimum 92% AFUE</v>
      </c>
      <c r="C27" s="137" t="s">
        <v>117</v>
      </c>
      <c r="D27" s="137" t="s">
        <v>91</v>
      </c>
      <c r="E27" s="137" t="s">
        <v>99</v>
      </c>
      <c r="F27" s="138" t="s">
        <v>737</v>
      </c>
      <c r="G27" s="138" t="str">
        <f t="shared" si="16"/>
        <v>Minimum 92% AFUE</v>
      </c>
      <c r="H27" s="52">
        <f>COUNTIF('All TRC 2022 Measure Data'!$B:$B,C27)</f>
        <v>3</v>
      </c>
      <c r="I27" s="162">
        <v>1.1000000000000001</v>
      </c>
      <c r="J27" s="53" t="s">
        <v>55</v>
      </c>
      <c r="K27" s="180">
        <f>IFERROR(INDEX('Com Measure Mapping'!$T:$T,MATCH($B27,'Com Measure Mapping'!$B:$B,0)),"N/A")</f>
        <v>5.3944355000463462E-2</v>
      </c>
      <c r="L27" s="181" t="str">
        <f>IFERROR(INDEX('Com Measure Mapping'!$U:$U,MATCH($B27,'Com Measure Mapping'!$B:$B,0)),"N/A")</f>
        <v>kBtu/Hr</v>
      </c>
      <c r="M27" s="182">
        <f t="shared" si="43"/>
        <v>1.1000000000000001</v>
      </c>
      <c r="N27" s="67">
        <f>SUMIF('All TRC 2022 Measure Data'!$B:$B,C27,'All TRC 2022 Measure Data'!$W:$W)</f>
        <v>394</v>
      </c>
      <c r="O27" s="184">
        <f>IFERROR(INDEX('Com Measure Mapping'!$Y:$Y,MATCH($B27,'Com Measure Mapping'!$B:$B,0)),"N/A")</f>
        <v>35.348204047092466</v>
      </c>
      <c r="P27" s="184">
        <f>IFERROR(INDEX('Com Measure Mapping'!$Z:$Z,MATCH($B27,'Com Measure Mapping'!$B:$B,0)),"N/A")</f>
        <v>64.240929300196882</v>
      </c>
      <c r="Q27" s="185">
        <f t="shared" si="1"/>
        <v>0.81737463138472977</v>
      </c>
      <c r="R27" s="186">
        <f>ROUND((N27/(6/12))*0.55,0)</f>
        <v>433</v>
      </c>
      <c r="S27" s="186">
        <f t="shared" si="9"/>
        <v>702</v>
      </c>
      <c r="T27" s="168">
        <f t="shared" si="10"/>
        <v>772.2</v>
      </c>
      <c r="U27" s="67"/>
      <c r="V27" s="187">
        <f>IFERROR(INDEX('Com Measure Mapping'!$V:$V,MATCH($B27,'Com Measure Mapping'!$B:$B,0)),"N/A")</f>
        <v>1.111919795372543</v>
      </c>
      <c r="W27" s="64">
        <v>16.739519999999999</v>
      </c>
      <c r="X27" s="64">
        <f t="shared" si="11"/>
        <v>11751.143039999999</v>
      </c>
      <c r="Y27" s="64">
        <f t="shared" si="2"/>
        <v>0.43725008247804853</v>
      </c>
      <c r="Z27" s="64">
        <f t="shared" si="12"/>
        <v>11444.193482100409</v>
      </c>
      <c r="AA27" s="52">
        <v>18</v>
      </c>
      <c r="AB27" s="189">
        <f>IFERROR(INDEX('Com Measure Mapping'!$W:$W,MATCH($B27,'Com Measure Mapping'!$B:$B,0)),"N/A")</f>
        <v>12</v>
      </c>
      <c r="AC27" s="188">
        <f t="shared" si="13"/>
        <v>12</v>
      </c>
      <c r="AD27" s="147">
        <f t="shared" si="3"/>
        <v>6821.1012866575566</v>
      </c>
      <c r="AE27" s="145">
        <f t="shared" si="14"/>
        <v>2017.2248242170654</v>
      </c>
      <c r="AF27" s="54">
        <v>5</v>
      </c>
      <c r="AG27" s="191">
        <f>IFERROR(INDEX('Com Measure Mapping'!$X:$X,MATCH($B27,'Com Measure Mapping'!$B:$B,0)),"N/A")</f>
        <v>340.21199250000006</v>
      </c>
      <c r="AH27" s="54">
        <v>5</v>
      </c>
      <c r="AI27" s="145">
        <f t="shared" si="15"/>
        <v>3510</v>
      </c>
      <c r="AJ27" s="156">
        <f t="shared" si="4"/>
        <v>0.51457966279811007</v>
      </c>
      <c r="AK27" s="157">
        <f t="shared" si="5"/>
        <v>0.81031267414671238</v>
      </c>
      <c r="AL27" s="163">
        <f>IFERROR(IF($D$3="Original",IF($AI27=0,"-",(INDEX('APP 2885'!$G:$G,MATCH($C$2+$AA27-1,'APP 2885'!$A:$A,0))*$T27)/($AI27+$AE27)),IF($AI27=0,"-",(INDEX('APP 2885'!$G:$G,MATCH($C$2+$AC27-1,'APP 2885'!$A:$A,0))*$T27)/($AI27+$AE27))),"N/A")</f>
        <v>2.7160068959716805</v>
      </c>
      <c r="AM27" s="64">
        <f t="shared" si="6"/>
        <v>1.6777633114004435</v>
      </c>
      <c r="AN27" s="64">
        <f t="shared" si="7"/>
        <v>1.9734963227490461</v>
      </c>
      <c r="AO27" s="163">
        <f>IFERROR(IF($D$3="Original",IF($Z27=0,"-",(INDEX('APP 2885'!$E:$E,MATCH($C$2+$AA27-1,'APP 2885'!$A:$A,0))*$T27)/(Z27+AE27)),IF($Z27=0,"-",(INDEX('APP 2885'!$E:$E,MATCH($C$2+$AC27-1,'APP 2885'!$A:$A,0))*$T27)/(Z27+AE27))),"N/A")</f>
        <v>1.0138051508364361</v>
      </c>
    </row>
    <row r="28" spans="2:41" ht="13.5" thickBot="1">
      <c r="B28" s="142" t="str">
        <f t="shared" si="0"/>
        <v>Insulation - Attic - Min R-30_Minimum R-30</v>
      </c>
      <c r="C28" s="135" t="s">
        <v>118</v>
      </c>
      <c r="D28" s="135" t="s">
        <v>746</v>
      </c>
      <c r="E28" s="135" t="s">
        <v>27</v>
      </c>
      <c r="F28" s="136" t="s">
        <v>747</v>
      </c>
      <c r="G28" s="136" t="str">
        <f t="shared" si="16"/>
        <v>Minimum R-30</v>
      </c>
      <c r="H28" s="47">
        <f>COUNTIF('All TRC 2022 Measure Data'!$B:$B,C28)</f>
        <v>4</v>
      </c>
      <c r="I28" s="164">
        <v>0.31</v>
      </c>
      <c r="J28" s="48" t="s">
        <v>71</v>
      </c>
      <c r="K28" s="164">
        <f>IFERROR(INDEX('Com Measure Mapping'!$T:$T,MATCH($B28,'Com Measure Mapping'!$B:$B,0)),"N/A")</f>
        <v>8.778148802192183E-2</v>
      </c>
      <c r="L28" s="66" t="str">
        <f>IFERROR(INDEX('Com Measure Mapping'!$U:$U,MATCH($B28,'Com Measure Mapping'!$B:$B,0)),"N/A")</f>
        <v>sqft roof</v>
      </c>
      <c r="M28" s="183">
        <f t="shared" si="43"/>
        <v>0.31</v>
      </c>
      <c r="N28" s="66">
        <f>SUMIF('All TRC 2022 Measure Data'!$B:$B,C28,'All TRC 2022 Measure Data'!$W:$W)</f>
        <v>97960</v>
      </c>
      <c r="O28" s="165">
        <f>IFERROR(INDEX('Com Measure Mapping'!$Y:$Y,MATCH($B28,'Com Measure Mapping'!$B:$B,0)),"N/A")</f>
        <v>110974.79465998401</v>
      </c>
      <c r="P28" s="165">
        <f>IFERROR(INDEX('Com Measure Mapping'!$Z:$Z,MATCH($B28,'Com Measure Mapping'!$B:$B,0)),"N/A")</f>
        <v>169174.90919277561</v>
      </c>
      <c r="Q28" s="167">
        <f t="shared" si="1"/>
        <v>0.52444444444444438</v>
      </c>
      <c r="R28" s="166">
        <f>ROUND((N28/(6/12))*0.55,0)</f>
        <v>107756</v>
      </c>
      <c r="S28" s="166">
        <f t="shared" si="9"/>
        <v>143256</v>
      </c>
      <c r="T28" s="192">
        <f t="shared" si="10"/>
        <v>44409.36</v>
      </c>
      <c r="U28" s="66"/>
      <c r="V28" s="143">
        <f>IFERROR(INDEX('Com Measure Mapping'!$V:$V,MATCH($B28,'Com Measure Mapping'!$B:$B,0)),"N/A")</f>
        <v>0.87631578947368427</v>
      </c>
      <c r="W28" s="63">
        <v>0.87631578947368427</v>
      </c>
      <c r="X28" s="63">
        <f t="shared" si="11"/>
        <v>125537.49473684211</v>
      </c>
      <c r="Y28" s="63">
        <f t="shared" si="2"/>
        <v>0.2457869032193602</v>
      </c>
      <c r="Z28" s="63">
        <f t="shared" si="12"/>
        <v>90327.046129249458</v>
      </c>
      <c r="AA28" s="47">
        <v>30</v>
      </c>
      <c r="AB28" s="47">
        <f>IFERROR(INDEX('Com Measure Mapping'!$W:$W,MATCH($B28,'Com Measure Mapping'!$B:$B,0)),"N/A")</f>
        <v>45</v>
      </c>
      <c r="AC28" s="190">
        <f t="shared" si="13"/>
        <v>45</v>
      </c>
      <c r="AD28" s="146">
        <f t="shared" si="3"/>
        <v>782454.41350205906</v>
      </c>
      <c r="AE28" s="144">
        <f t="shared" si="14"/>
        <v>116010.96013933228</v>
      </c>
      <c r="AF28" s="49">
        <v>2</v>
      </c>
      <c r="AG28" s="49">
        <f>IFERROR(INDEX('Com Measure Mapping'!$X:$X,MATCH($B28,'Com Measure Mapping'!$B:$B,0)),"N/A")</f>
        <v>0.71155339397509443</v>
      </c>
      <c r="AH28" s="49">
        <v>2</v>
      </c>
      <c r="AI28" s="144">
        <f t="shared" si="15"/>
        <v>286512</v>
      </c>
      <c r="AJ28" s="154">
        <f t="shared" si="4"/>
        <v>0.36617085296720103</v>
      </c>
      <c r="AK28" s="155">
        <f t="shared" si="5"/>
        <v>0.51443630861221157</v>
      </c>
      <c r="AL28" s="70">
        <f>IFERROR(IF($D$3="Original",IF($AI28=0,"-",(INDEX('APP 2885'!$G:$G,MATCH($C$2+$AA28-1,'APP 2885'!$A:$A,0))*$T28)/($AI28+$AE28)),IF($AI28=0,"-",(INDEX('APP 2885'!$G:$G,MATCH($C$2+$AC28-1,'APP 2885'!$A:$A,0))*$T28)/($AI28+$AE28))),"N/A")</f>
        <v>11.358941943926636</v>
      </c>
      <c r="AM28" s="63">
        <f t="shared" si="6"/>
        <v>0.11544065005010258</v>
      </c>
      <c r="AN28" s="63">
        <f t="shared" si="7"/>
        <v>0.2637061056951131</v>
      </c>
      <c r="AO28" s="70">
        <f>IFERROR(IF($D$3="Original",IF($Z28=0,"-",(INDEX('APP 2885'!$E:$E,MATCH($C$2+$AA28-1,'APP 2885'!$A:$A,0))*$T28)/(Z28+AE28)),IF($Z28=0,"-",(INDEX('APP 2885'!$E:$E,MATCH($C$2+$AC28-1,'APP 2885'!$A:$A,0))*$T28)/(Z28+AE28))),"N/A")</f>
        <v>20.14450604178554</v>
      </c>
    </row>
    <row r="29" spans="2:41" ht="13.5" thickBot="1">
      <c r="B29" s="142" t="str">
        <f t="shared" si="0"/>
        <v>Insulation - Attic - Min R-45_Minimum R-45</v>
      </c>
      <c r="C29" s="137" t="s">
        <v>119</v>
      </c>
      <c r="D29" s="137" t="s">
        <v>753</v>
      </c>
      <c r="E29" s="137" t="s">
        <v>27</v>
      </c>
      <c r="F29" s="138" t="s">
        <v>754</v>
      </c>
      <c r="G29" s="138" t="str">
        <f t="shared" si="16"/>
        <v>Minimum R-45</v>
      </c>
      <c r="H29" s="52">
        <f>COUNTIF('All TRC 2022 Measure Data'!$B:$B,C29)</f>
        <v>7</v>
      </c>
      <c r="I29" s="162">
        <v>0.32</v>
      </c>
      <c r="J29" s="53" t="s">
        <v>71</v>
      </c>
      <c r="K29" s="180">
        <f>IFERROR(INDEX('Com Measure Mapping'!$T:$T,MATCH($B29,'Com Measure Mapping'!$B:$B,0)),"N/A")</f>
        <v>0.13167223203288272</v>
      </c>
      <c r="L29" s="181" t="str">
        <f>IFERROR(INDEX('Com Measure Mapping'!$U:$U,MATCH($B29,'Com Measure Mapping'!$B:$B,0)),"N/A")</f>
        <v>sqft roof</v>
      </c>
      <c r="M29" s="182">
        <f t="shared" si="43"/>
        <v>0.32</v>
      </c>
      <c r="N29" s="67">
        <f>SUMIF('All TRC 2022 Measure Data'!$B:$B,C29,'All TRC 2022 Measure Data'!$W:$W)</f>
        <v>75311</v>
      </c>
      <c r="O29" s="184">
        <f>IFERROR(INDEX('Com Measure Mapping'!$Y:$Y,MATCH($B29,'Com Measure Mapping'!$B:$B,0)),"N/A")</f>
        <v>110974.79465998401</v>
      </c>
      <c r="P29" s="184">
        <f>IFERROR(INDEX('Com Measure Mapping'!$Z:$Z,MATCH($B29,'Com Measure Mapping'!$B:$B,0)),"N/A")</f>
        <v>169174.90919277561</v>
      </c>
      <c r="Q29" s="185">
        <f t="shared" si="1"/>
        <v>0.52444444444444438</v>
      </c>
      <c r="R29" s="186">
        <f>ROUND((N29/(6/12))*0.55,0)</f>
        <v>82842</v>
      </c>
      <c r="S29" s="186">
        <f t="shared" si="9"/>
        <v>110134</v>
      </c>
      <c r="T29" s="168">
        <f t="shared" si="10"/>
        <v>35242.879999999997</v>
      </c>
      <c r="U29" s="67"/>
      <c r="V29" s="187">
        <f>IFERROR(INDEX('Com Measure Mapping'!$V:$V,MATCH($B29,'Com Measure Mapping'!$B:$B,0)),"N/A")</f>
        <v>1.3144736842105262</v>
      </c>
      <c r="W29" s="64">
        <v>1.3144736842105262</v>
      </c>
      <c r="X29" s="64">
        <f t="shared" si="11"/>
        <v>144768.24473684208</v>
      </c>
      <c r="Y29" s="64">
        <f t="shared" si="2"/>
        <v>0.25371551300062983</v>
      </c>
      <c r="Z29" s="64">
        <f t="shared" si="12"/>
        <v>116825.54042803073</v>
      </c>
      <c r="AA29" s="52">
        <v>30</v>
      </c>
      <c r="AB29" s="189">
        <f>IFERROR(INDEX('Com Measure Mapping'!$W:$W,MATCH($B29,'Com Measure Mapping'!$B:$B,0)),"N/A")</f>
        <v>45</v>
      </c>
      <c r="AC29" s="188">
        <f t="shared" si="13"/>
        <v>45</v>
      </c>
      <c r="AD29" s="147">
        <f t="shared" si="3"/>
        <v>620948.98464025243</v>
      </c>
      <c r="AE29" s="145">
        <f t="shared" si="14"/>
        <v>92065.284139993688</v>
      </c>
      <c r="AF29" s="54">
        <v>2.5</v>
      </c>
      <c r="AG29" s="191">
        <f>IFERROR(INDEX('Com Measure Mapping'!$X:$X,MATCH($B29,'Com Measure Mapping'!$B:$B,0)),"N/A")</f>
        <v>1.0673300909626415</v>
      </c>
      <c r="AH29" s="54">
        <v>2.5</v>
      </c>
      <c r="AI29" s="145">
        <f t="shared" si="15"/>
        <v>275335</v>
      </c>
      <c r="AJ29" s="156">
        <f t="shared" si="4"/>
        <v>0.44341001726497015</v>
      </c>
      <c r="AK29" s="157">
        <f t="shared" si="5"/>
        <v>0.59167547290998068</v>
      </c>
      <c r="AL29" s="163">
        <f>IFERROR(IF($D$3="Original",IF($AI29=0,"-",(INDEX('APP 2885'!$G:$G,MATCH($C$2+$AA29-1,'APP 2885'!$A:$A,0))*$T29)/($AI29+$AE29)),IF($AI29=0,"-",(INDEX('APP 2885'!$G:$G,MATCH($C$2+$AC29-1,'APP 2885'!$A:$A,0))*$T29)/($AI29+$AE29))),"N/A")</f>
        <v>9.8761101835686169</v>
      </c>
      <c r="AM29" s="64">
        <f t="shared" si="6"/>
        <v>0.18814031960405531</v>
      </c>
      <c r="AN29" s="64">
        <f t="shared" si="7"/>
        <v>0.3364057752490659</v>
      </c>
      <c r="AO29" s="163">
        <f>IFERROR(IF($D$3="Original",IF($Z29=0,"-",(INDEX('APP 2885'!$E:$E,MATCH($C$2+$AA29-1,'APP 2885'!$A:$A,0))*$T29)/(Z29+AE29)),IF($Z29=0,"-",(INDEX('APP 2885'!$E:$E,MATCH($C$2+$AC29-1,'APP 2885'!$A:$A,0))*$T29)/(Z29+AE29))),"N/A")</f>
        <v>15.79113567684119</v>
      </c>
    </row>
    <row r="30" spans="2:41" ht="13.5" thickBot="1">
      <c r="B30" s="142" t="str">
        <f t="shared" si="0"/>
        <v>Insulation - Floor_Equal to or greater than R-30 Post and equal to or less than R-11 Pre</v>
      </c>
      <c r="C30" s="135" t="s">
        <v>294</v>
      </c>
      <c r="D30" s="135" t="s">
        <v>111</v>
      </c>
      <c r="E30" s="135" t="s">
        <v>100</v>
      </c>
      <c r="F30" s="136" t="s">
        <v>101</v>
      </c>
      <c r="G30" s="136" t="str">
        <f t="shared" si="16"/>
        <v>Equal to or greater than R-30 Post and equal to or less than R-11 Pre</v>
      </c>
      <c r="H30" s="47">
        <f>COUNTIF('All TRC 2022 Measure Data'!$B:$B,C30)</f>
        <v>1</v>
      </c>
      <c r="I30" s="164">
        <v>5.6000000000000001E-2</v>
      </c>
      <c r="J30" s="48" t="s">
        <v>78</v>
      </c>
      <c r="K30" s="164" t="str">
        <f>IFERROR(INDEX('Com Measure Mapping'!$T:$T,MATCH($B30,'Com Measure Mapping'!$B:$B,0)),"N/A")</f>
        <v>N/A</v>
      </c>
      <c r="L30" s="66" t="str">
        <f>IFERROR(INDEX('Com Measure Mapping'!$U:$U,MATCH($B30,'Com Measure Mapping'!$B:$B,0)),"N/A")</f>
        <v>N/A</v>
      </c>
      <c r="M30" s="183">
        <f t="shared" si="8"/>
        <v>5.6000000000000001E-2</v>
      </c>
      <c r="N30" s="66">
        <f>SUMIF('All TRC 2022 Measure Data'!$B:$B,C30,'All TRC 2022 Measure Data'!$W:$W)</f>
        <v>3600</v>
      </c>
      <c r="O30" s="165" t="str">
        <f>IFERROR(INDEX('Com Measure Mapping'!$Y:$Y,MATCH($B30,'Com Measure Mapping'!$B:$B,0)),"N/A")</f>
        <v>N/A</v>
      </c>
      <c r="P30" s="165" t="str">
        <f>IFERROR(INDEX('Com Measure Mapping'!$Z:$Z,MATCH($B30,'Com Measure Mapping'!$B:$B,0)),"N/A")</f>
        <v>N/A</v>
      </c>
      <c r="Q30" s="167" t="str">
        <f t="shared" si="1"/>
        <v>N/A</v>
      </c>
      <c r="R30" s="166">
        <f>ROUND((N30/(6/12))*0.55,0)</f>
        <v>3960</v>
      </c>
      <c r="S30" s="166">
        <f t="shared" si="9"/>
        <v>3960</v>
      </c>
      <c r="T30" s="192">
        <f t="shared" si="10"/>
        <v>221.76</v>
      </c>
      <c r="U30" s="66"/>
      <c r="V30" s="143" t="str">
        <f>IFERROR(INDEX('Com Measure Mapping'!$V:$V,MATCH($B30,'Com Measure Mapping'!$B:$B,0)),"N/A")</f>
        <v>N/A</v>
      </c>
      <c r="W30" s="63">
        <v>1.08</v>
      </c>
      <c r="X30" s="63">
        <f t="shared" si="11"/>
        <v>4276.8</v>
      </c>
      <c r="Y30" s="63">
        <f t="shared" si="2"/>
        <v>3.8475026494738586E-2</v>
      </c>
      <c r="Z30" s="63">
        <f t="shared" si="12"/>
        <v>4124.4388950808352</v>
      </c>
      <c r="AA30" s="47">
        <v>30</v>
      </c>
      <c r="AB30" s="47" t="str">
        <f>IFERROR(INDEX('Com Measure Mapping'!$W:$W,MATCH($B30,'Com Measure Mapping'!$B:$B,0)),"N/A")</f>
        <v>N/A</v>
      </c>
      <c r="AC30" s="190">
        <f t="shared" si="13"/>
        <v>30</v>
      </c>
      <c r="AD30" s="146">
        <f t="shared" si="3"/>
        <v>3385.8023315369942</v>
      </c>
      <c r="AE30" s="144">
        <f t="shared" si="14"/>
        <v>579.305590544388</v>
      </c>
      <c r="AF30" s="49">
        <v>1.25</v>
      </c>
      <c r="AG30" s="49" t="str">
        <f>IFERROR(INDEX('Com Measure Mapping'!$X:$X,MATCH($B30,'Com Measure Mapping'!$B:$B,0)),"N/A")</f>
        <v>N/A</v>
      </c>
      <c r="AH30" s="49">
        <v>1.25</v>
      </c>
      <c r="AI30" s="144">
        <f t="shared" si="15"/>
        <v>4950</v>
      </c>
      <c r="AJ30" s="154">
        <f t="shared" si="4"/>
        <v>1.4619872973366801</v>
      </c>
      <c r="AK30" s="155">
        <f t="shared" si="5"/>
        <v>1.6330857649431485</v>
      </c>
      <c r="AL30" s="70">
        <f>IFERROR(IF($D$3="Original",IF($AI30=0,"-",(INDEX('APP 2885'!$G:$G,MATCH($C$2+$AA30-1,'APP 2885'!$A:$A,0))*$T30)/($AI30+$AE30)),IF($AI30=0,"-",(INDEX('APP 2885'!$G:$G,MATCH($C$2+$AC30-1,'APP 2885'!$A:$A,0))*$T30)/($AI30+$AE30))),"N/A")</f>
        <v>2.4442689941812938</v>
      </c>
      <c r="AM30" s="63">
        <f t="shared" si="6"/>
        <v>1.2181570248988915</v>
      </c>
      <c r="AN30" s="63">
        <f t="shared" si="7"/>
        <v>1.38925549250536</v>
      </c>
      <c r="AO30" s="70">
        <f>IFERROR(IF($D$3="Original",IF($Z30=0,"-",(INDEX('APP 2885'!$E:$E,MATCH($C$2+$AA30-1,'APP 2885'!$A:$A,0))*$T30)/(Z30+AE30)),IF($Z30=0,"-",(INDEX('APP 2885'!$E:$E,MATCH($C$2+$AC30-1,'APP 2885'!$A:$A,0))*$T30)/(Z30+AE30))),"N/A")</f>
        <v>2.6120602147392642</v>
      </c>
    </row>
    <row r="31" spans="2:41" ht="13.5" thickBot="1">
      <c r="B31" s="142" t="str">
        <f t="shared" si="0"/>
        <v>Insulation - Pipe - 1.5"_Retrofit for T&gt;140F&lt;=200F</v>
      </c>
      <c r="C31" s="137" t="s">
        <v>120</v>
      </c>
      <c r="D31" s="137" t="s">
        <v>92</v>
      </c>
      <c r="E31" s="137" t="s">
        <v>102</v>
      </c>
      <c r="F31" s="138" t="s">
        <v>103</v>
      </c>
      <c r="G31" s="138" t="str">
        <f t="shared" si="16"/>
        <v>Retrofit for T&gt;140F&lt;=200F</v>
      </c>
      <c r="H31" s="52">
        <f>COUNTIF('All TRC 2022 Measure Data'!$B:$B,C31)</f>
        <v>0</v>
      </c>
      <c r="I31" s="162">
        <v>6</v>
      </c>
      <c r="J31" s="53" t="s">
        <v>109</v>
      </c>
      <c r="K31" s="180">
        <f>IFERROR(INDEX('Com Measure Mapping'!$T:$T,MATCH($B31,'Com Measure Mapping'!$B:$B,0)),"N/A")</f>
        <v>4.6017923491566473</v>
      </c>
      <c r="L31" s="181" t="str">
        <f>IFERROR(INDEX('Com Measure Mapping'!$U:$U,MATCH($B31,'Com Measure Mapping'!$B:$B,0)),"N/A")</f>
        <v>boiler pipe</v>
      </c>
      <c r="M31" s="182">
        <f>K31</f>
        <v>4.6017923491566473</v>
      </c>
      <c r="N31" s="67">
        <f>SUMIF('All TRC 2022 Measure Data'!$B:$B,C31,'All TRC 2022 Measure Data'!$W:$W)</f>
        <v>0</v>
      </c>
      <c r="O31" s="184">
        <f>IFERROR(INDEX('Com Measure Mapping'!$Y:$Y,MATCH($B31,'Com Measure Mapping'!$B:$B,0)),"N/A")</f>
        <v>4728.6541099919759</v>
      </c>
      <c r="P31" s="184">
        <f>IFERROR(INDEX('Com Measure Mapping'!$Z:$Z,MATCH($B31,'Com Measure Mapping'!$B:$B,0)),"N/A")</f>
        <v>4634.0810277921364</v>
      </c>
      <c r="Q31" s="185">
        <f t="shared" si="1"/>
        <v>-0.02</v>
      </c>
      <c r="R31" s="186">
        <f>ROUND((O31*10%)*0.55,0)</f>
        <v>260</v>
      </c>
      <c r="S31" s="186">
        <f t="shared" si="9"/>
        <v>255</v>
      </c>
      <c r="T31" s="168">
        <f t="shared" si="10"/>
        <v>1173.45</v>
      </c>
      <c r="U31" s="67"/>
      <c r="V31" s="187">
        <f>IFERROR(INDEX('Com Measure Mapping'!$V:$V,MATCH($B31,'Com Measure Mapping'!$B:$B,0)),"N/A")</f>
        <v>10.78</v>
      </c>
      <c r="W31" s="64">
        <v>10.78</v>
      </c>
      <c r="X31" s="64">
        <f t="shared" si="11"/>
        <v>2748.8999999999996</v>
      </c>
      <c r="Y31" s="64">
        <f t="shared" si="2"/>
        <v>2.5676040573520189</v>
      </c>
      <c r="Z31" s="64">
        <f t="shared" si="12"/>
        <v>2094.1609653752348</v>
      </c>
      <c r="AA31" s="52">
        <v>20</v>
      </c>
      <c r="AB31" s="189">
        <f>IFERROR(INDEX('Com Measure Mapping'!$W:$W,MATCH($B31,'Com Measure Mapping'!$B:$B,0)),"N/A")</f>
        <v>20</v>
      </c>
      <c r="AC31" s="188">
        <f t="shared" si="13"/>
        <v>20</v>
      </c>
      <c r="AD31" s="147">
        <f t="shared" si="3"/>
        <v>14549.668923635805</v>
      </c>
      <c r="AE31" s="145">
        <f t="shared" si="14"/>
        <v>3065.4137140345965</v>
      </c>
      <c r="AF31" s="54">
        <v>15</v>
      </c>
      <c r="AG31" s="191">
        <f>IFERROR(INDEX('Com Measure Mapping'!$X:$X,MATCH($B31,'Com Measure Mapping'!$B:$B,0)),"N/A")</f>
        <v>10.782299999999999</v>
      </c>
      <c r="AH31" s="54">
        <v>15</v>
      </c>
      <c r="AI31" s="145">
        <f t="shared" si="15"/>
        <v>3825</v>
      </c>
      <c r="AJ31" s="156">
        <f t="shared" si="4"/>
        <v>0.26289257989824927</v>
      </c>
      <c r="AK31" s="157">
        <f t="shared" si="5"/>
        <v>0.47357872884936797</v>
      </c>
      <c r="AL31" s="163">
        <f>IFERROR(IF($D$3="Original",IF($AI31=0,"-",(INDEX('APP 2885'!$G:$G,MATCH($C$2+$AA31-1,'APP 2885'!$A:$A,0))*$T31)/($AI31+$AE31)),IF($AI31=0,"-",(INDEX('APP 2885'!$G:$G,MATCH($C$2+$AC31-1,'APP 2885'!$A:$A,0))*$T31)/($AI31+$AE31))),"N/A")</f>
        <v>7.2171454138512061</v>
      </c>
      <c r="AM31" s="64">
        <f t="shared" si="6"/>
        <v>0.14393186376724279</v>
      </c>
      <c r="AN31" s="64">
        <f t="shared" si="7"/>
        <v>0.35461801271836152</v>
      </c>
      <c r="AO31" s="163">
        <f>IFERROR(IF($D$3="Original",IF($Z31=0,"-",(INDEX('APP 2885'!$E:$E,MATCH($C$2+$AA31-1,'APP 2885'!$A:$A,0))*$T31)/(Z31+AE31)),IF($Z31=0,"-",(INDEX('APP 2885'!$E:$E,MATCH($C$2+$AC31-1,'APP 2885'!$A:$A,0))*$T31)/(Z31+AE31))),"N/A")</f>
        <v>8.7620185111618927</v>
      </c>
    </row>
    <row r="32" spans="2:41" ht="13.5" thickBot="1">
      <c r="B32" s="142" t="str">
        <f t="shared" si="0"/>
        <v>Insulation - Pipe - 2.5"_Retrofit for T&gt;200F</v>
      </c>
      <c r="C32" s="135" t="s">
        <v>121</v>
      </c>
      <c r="D32" s="135" t="s">
        <v>93</v>
      </c>
      <c r="E32" s="135" t="s">
        <v>104</v>
      </c>
      <c r="F32" s="136" t="s">
        <v>105</v>
      </c>
      <c r="G32" s="136" t="str">
        <f t="shared" si="16"/>
        <v>Retrofit for T&gt;200F</v>
      </c>
      <c r="H32" s="47">
        <f>COUNTIF('All TRC 2022 Measure Data'!$B:$B,C32)</f>
        <v>0</v>
      </c>
      <c r="I32" s="164">
        <v>12</v>
      </c>
      <c r="J32" s="48" t="s">
        <v>109</v>
      </c>
      <c r="K32" s="164">
        <f>IFERROR(INDEX('Com Measure Mapping'!$T:$T,MATCH($B32,'Com Measure Mapping'!$B:$B,0)),"N/A")</f>
        <v>346.13835024552628</v>
      </c>
      <c r="L32" s="66" t="str">
        <f>IFERROR(INDEX('Com Measure Mapping'!$U:$U,MATCH($B32,'Com Measure Mapping'!$B:$B,0)),"N/A")</f>
        <v>employee</v>
      </c>
      <c r="M32" s="183">
        <f>I32</f>
        <v>12</v>
      </c>
      <c r="N32" s="66">
        <f>SUMIF('All TRC 2022 Measure Data'!$B:$B,C32,'All TRC 2022 Measure Data'!$W:$W)</f>
        <v>0</v>
      </c>
      <c r="O32" s="165">
        <f>IFERROR(INDEX('Com Measure Mapping'!$Y:$Y,MATCH($B32,'Com Measure Mapping'!$B:$B,0)),"N/A")</f>
        <v>15.691871462059005</v>
      </c>
      <c r="P32" s="165">
        <f>IFERROR(INDEX('Com Measure Mapping'!$Z:$Z,MATCH($B32,'Com Measure Mapping'!$B:$B,0)),"N/A")</f>
        <v>15.599330849036978</v>
      </c>
      <c r="Q32" s="167">
        <f t="shared" si="1"/>
        <v>-5.8973598685012896E-3</v>
      </c>
      <c r="R32" s="166">
        <f t="shared" ref="R32:R42" si="60">ROUND((N32/(6/12))*0.55,0)</f>
        <v>0</v>
      </c>
      <c r="S32" s="166">
        <f t="shared" si="9"/>
        <v>0</v>
      </c>
      <c r="T32" s="192">
        <f t="shared" si="10"/>
        <v>0</v>
      </c>
      <c r="U32" s="66"/>
      <c r="V32" s="143">
        <f>IFERROR(INDEX('Com Measure Mapping'!$V:$V,MATCH($B32,'Com Measure Mapping'!$B:$B,0)),"N/A")</f>
        <v>2951.244444444445</v>
      </c>
      <c r="W32" s="63">
        <v>18</v>
      </c>
      <c r="X32" s="63">
        <f t="shared" si="11"/>
        <v>0</v>
      </c>
      <c r="Y32" s="63">
        <f t="shared" si="2"/>
        <v>6.695488703194286</v>
      </c>
      <c r="Z32" s="63">
        <f t="shared" si="12"/>
        <v>0</v>
      </c>
      <c r="AA32" s="47">
        <v>20</v>
      </c>
      <c r="AB32" s="47">
        <f>IFERROR(INDEX('Com Measure Mapping'!$W:$W,MATCH($B32,'Com Measure Mapping'!$B:$B,0)),"N/A")</f>
        <v>20</v>
      </c>
      <c r="AC32" s="190">
        <f t="shared" si="13"/>
        <v>20</v>
      </c>
      <c r="AD32" s="146">
        <f t="shared" si="3"/>
        <v>0</v>
      </c>
      <c r="AE32" s="144">
        <f t="shared" si="14"/>
        <v>0</v>
      </c>
      <c r="AF32" s="49">
        <v>25</v>
      </c>
      <c r="AG32" s="49">
        <f>IFERROR(INDEX('Com Measure Mapping'!$X:$X,MATCH($B32,'Com Measure Mapping'!$B:$B,0)),"N/A")</f>
        <v>1475.6218611111112</v>
      </c>
      <c r="AH32" s="49">
        <v>25</v>
      </c>
      <c r="AI32" s="144">
        <f t="shared" si="15"/>
        <v>0</v>
      </c>
      <c r="AJ32" s="154">
        <f t="shared" si="4"/>
        <v>0</v>
      </c>
      <c r="AK32" s="155">
        <f t="shared" si="5"/>
        <v>0</v>
      </c>
      <c r="AL32" s="70" t="str">
        <f>IFERROR(IF($D$3="Original",IF($AI32=0,"-",(INDEX('APP 2885'!$G:$G,MATCH($C$2+$AA32-1,'APP 2885'!$A:$A,0))*$T32)/($AI32+$AE32)),IF($AI32=0,"-",(INDEX('APP 2885'!$G:$G,MATCH($C$2+$AC32-1,'APP 2885'!$A:$A,0))*$T32)/($AI32+$AE32))),"N/A")</f>
        <v>-</v>
      </c>
      <c r="AM32" s="63">
        <f t="shared" si="6"/>
        <v>0</v>
      </c>
      <c r="AN32" s="63">
        <f t="shared" si="7"/>
        <v>0</v>
      </c>
      <c r="AO32" s="70" t="str">
        <f>IFERROR(IF($D$3="Original",IF($Z32=0,"-",(INDEX('APP 2885'!$E:$E,MATCH($C$2+$AA32-1,'APP 2885'!$A:$A,0))*$T32)/(Z32+AE32)),IF($Z32=0,"-",(INDEX('APP 2885'!$E:$E,MATCH($C$2+$AC32-1,'APP 2885'!$A:$A,0))*$T32)/(Z32+AE32))),"N/A")</f>
        <v>-</v>
      </c>
    </row>
    <row r="33" spans="2:41" ht="13.5" thickBot="1">
      <c r="B33" s="142" t="str">
        <f t="shared" si="0"/>
        <v>Insulation - Roof - Min R-30_Minimum R-30</v>
      </c>
      <c r="C33" s="137" t="s">
        <v>295</v>
      </c>
      <c r="D33" s="137" t="s">
        <v>766</v>
      </c>
      <c r="E33" s="137" t="s">
        <v>74</v>
      </c>
      <c r="F33" s="138" t="s">
        <v>747</v>
      </c>
      <c r="G33" s="138" t="str">
        <f t="shared" si="16"/>
        <v>Minimum R-30</v>
      </c>
      <c r="H33" s="52">
        <f>COUNTIF('All TRC 2022 Measure Data'!$B:$B,C33)</f>
        <v>2</v>
      </c>
      <c r="I33" s="162">
        <v>0.36</v>
      </c>
      <c r="J33" s="53" t="s">
        <v>71</v>
      </c>
      <c r="K33" s="180">
        <f>IFERROR(INDEX('Com Measure Mapping'!$T:$T,MATCH($B33,'Com Measure Mapping'!$B:$B,0)),"N/A")</f>
        <v>8.778148802192183E-2</v>
      </c>
      <c r="L33" s="181" t="str">
        <f>IFERROR(INDEX('Com Measure Mapping'!$U:$U,MATCH($B33,'Com Measure Mapping'!$B:$B,0)),"N/A")</f>
        <v>sqft roof</v>
      </c>
      <c r="M33" s="182">
        <f>I33</f>
        <v>0.36</v>
      </c>
      <c r="N33" s="67">
        <f>SUMIF('All TRC 2022 Measure Data'!$B:$B,C33,'All TRC 2022 Measure Data'!$W:$W)</f>
        <v>29690</v>
      </c>
      <c r="O33" s="184">
        <f>IFERROR(INDEX('Com Measure Mapping'!$Y:$Y,MATCH($B33,'Com Measure Mapping'!$B:$B,0)),"N/A")</f>
        <v>110974.79465998401</v>
      </c>
      <c r="P33" s="184">
        <f>IFERROR(INDEX('Com Measure Mapping'!$Z:$Z,MATCH($B33,'Com Measure Mapping'!$B:$B,0)),"N/A")</f>
        <v>169174.90919277561</v>
      </c>
      <c r="Q33" s="185">
        <f t="shared" si="1"/>
        <v>0.52444444444444438</v>
      </c>
      <c r="R33" s="186">
        <f t="shared" si="60"/>
        <v>32659</v>
      </c>
      <c r="S33" s="186">
        <f t="shared" si="9"/>
        <v>43418</v>
      </c>
      <c r="T33" s="168">
        <f t="shared" si="10"/>
        <v>15630.48</v>
      </c>
      <c r="U33" s="67"/>
      <c r="V33" s="187">
        <f>IFERROR(INDEX('Com Measure Mapping'!$V:$V,MATCH($B33,'Com Measure Mapping'!$B:$B,0)),"N/A")</f>
        <v>0.87631578947368427</v>
      </c>
      <c r="W33" s="64">
        <v>2.15</v>
      </c>
      <c r="X33" s="64">
        <f t="shared" si="11"/>
        <v>93348.7</v>
      </c>
      <c r="Y33" s="64">
        <f t="shared" si="2"/>
        <v>0.2854299521257086</v>
      </c>
      <c r="Z33" s="64">
        <f t="shared" si="12"/>
        <v>80955.902338605971</v>
      </c>
      <c r="AA33" s="52">
        <v>30</v>
      </c>
      <c r="AB33" s="189">
        <f>IFERROR(INDEX('Com Measure Mapping'!$W:$W,MATCH($B33,'Com Measure Mapping'!$B:$B,0)),"N/A")</f>
        <v>45</v>
      </c>
      <c r="AC33" s="188">
        <f t="shared" si="13"/>
        <v>45</v>
      </c>
      <c r="AD33" s="147">
        <f t="shared" si="3"/>
        <v>275395.50358653365</v>
      </c>
      <c r="AE33" s="145">
        <f t="shared" si="14"/>
        <v>40831.639821844539</v>
      </c>
      <c r="AF33" s="54">
        <v>2</v>
      </c>
      <c r="AG33" s="191">
        <f>IFERROR(INDEX('Com Measure Mapping'!$X:$X,MATCH($B33,'Com Measure Mapping'!$B:$B,0)),"N/A")</f>
        <v>0.71155339397509443</v>
      </c>
      <c r="AH33" s="54">
        <v>2</v>
      </c>
      <c r="AI33" s="145">
        <f t="shared" si="15"/>
        <v>86836</v>
      </c>
      <c r="AJ33" s="156">
        <f t="shared" si="4"/>
        <v>0.3153137900550898</v>
      </c>
      <c r="AK33" s="157">
        <f t="shared" si="5"/>
        <v>0.46357924570010028</v>
      </c>
      <c r="AL33" s="163">
        <f>IFERROR(IF($D$3="Original",IF($AI33=0,"-",(INDEX('APP 2885'!$G:$G,MATCH($C$2+$AA33-1,'APP 2885'!$A:$A,0))*$T33)/($AI33+$AE33)),IF($AI33=0,"-",(INDEX('APP 2885'!$G:$G,MATCH($C$2+$AC33-1,'APP 2885'!$A:$A,0))*$T33)/($AI33+$AE33))),"N/A")</f>
        <v>12.605077163342846</v>
      </c>
      <c r="AM33" s="64">
        <f t="shared" si="6"/>
        <v>0.29396232430922148</v>
      </c>
      <c r="AN33" s="64">
        <f t="shared" si="7"/>
        <v>0.44222777995423196</v>
      </c>
      <c r="AO33" s="163">
        <f>IFERROR(IF($D$3="Original",IF($Z33=0,"-",(INDEX('APP 2885'!$E:$E,MATCH($C$2+$AA33-1,'APP 2885'!$A:$A,0))*$T33)/(Z33+AE33)),IF($Z33=0,"-",(INDEX('APP 2885'!$E:$E,MATCH($C$2+$AC33-1,'APP 2885'!$A:$A,0))*$T33)/(Z33+AE33))),"N/A")</f>
        <v>12.012427713113652</v>
      </c>
    </row>
    <row r="34" spans="2:41" ht="13.5" thickBot="1">
      <c r="B34" s="142" t="str">
        <f t="shared" si="0"/>
        <v>Insulation - Wall - Min R-19_Minimum R-19</v>
      </c>
      <c r="C34" s="135" t="s">
        <v>291</v>
      </c>
      <c r="D34" s="135" t="s">
        <v>768</v>
      </c>
      <c r="E34" s="135" t="s">
        <v>72</v>
      </c>
      <c r="F34" s="136" t="s">
        <v>769</v>
      </c>
      <c r="G34" s="136" t="str">
        <f t="shared" si="16"/>
        <v>Minimum R-19</v>
      </c>
      <c r="H34" s="47">
        <f>COUNTIF('All TRC 2022 Measure Data'!$B:$B,C34)</f>
        <v>3</v>
      </c>
      <c r="I34" s="164">
        <v>0.19</v>
      </c>
      <c r="J34" s="48" t="s">
        <v>78</v>
      </c>
      <c r="K34" s="164">
        <f>IFERROR(INDEX('Com Measure Mapping'!$T:$T,MATCH($B34,'Com Measure Mapping'!$B:$B,0)),"N/A")</f>
        <v>9.7157441361663641E-2</v>
      </c>
      <c r="L34" s="66" t="str">
        <f>IFERROR(INDEX('Com Measure Mapping'!$U:$U,MATCH($B34,'Com Measure Mapping'!$B:$B,0)),"N/A")</f>
        <v>sqft wall</v>
      </c>
      <c r="M34" s="183">
        <f>I34</f>
        <v>0.19</v>
      </c>
      <c r="N34" s="66">
        <f>SUMIF('All TRC 2022 Measure Data'!$B:$B,C34,'All TRC 2022 Measure Data'!$W:$W)</f>
        <v>29830</v>
      </c>
      <c r="O34" s="165">
        <f>IFERROR(INDEX('Com Measure Mapping'!$Y:$Y,MATCH($B34,'Com Measure Mapping'!$B:$B,0)),"N/A")</f>
        <v>109410.10554267553</v>
      </c>
      <c r="P34" s="165">
        <f>IFERROR(INDEX('Com Measure Mapping'!$Z:$Z,MATCH($B34,'Com Measure Mapping'!$B:$B,0)),"N/A")</f>
        <v>166789.62756061202</v>
      </c>
      <c r="Q34" s="167">
        <f t="shared" si="1"/>
        <v>0.52444444444444427</v>
      </c>
      <c r="R34" s="166">
        <f t="shared" si="60"/>
        <v>32813</v>
      </c>
      <c r="S34" s="166">
        <f t="shared" si="9"/>
        <v>43623</v>
      </c>
      <c r="T34" s="192">
        <f t="shared" si="10"/>
        <v>8288.3700000000008</v>
      </c>
      <c r="U34" s="66"/>
      <c r="V34" s="143">
        <f>IFERROR(INDEX('Com Measure Mapping'!$V:$V,MATCH($B34,'Com Measure Mapping'!$B:$B,0)),"N/A")</f>
        <v>1.7371428571428573</v>
      </c>
      <c r="W34" s="63">
        <v>1.7371428571428573</v>
      </c>
      <c r="X34" s="63">
        <f t="shared" si="11"/>
        <v>75779.38285714286</v>
      </c>
      <c r="Y34" s="63">
        <f t="shared" si="2"/>
        <v>0.15064358584412396</v>
      </c>
      <c r="Z34" s="63">
        <f t="shared" si="12"/>
        <v>69207.85771186465</v>
      </c>
      <c r="AA34" s="47">
        <v>30</v>
      </c>
      <c r="AB34" s="47">
        <f>IFERROR(INDEX('Com Measure Mapping'!$W:$W,MATCH($B34,'Com Measure Mapping'!$B:$B,0)),"N/A")</f>
        <v>45</v>
      </c>
      <c r="AC34" s="190">
        <f t="shared" si="13"/>
        <v>45</v>
      </c>
      <c r="AD34" s="146">
        <f t="shared" si="3"/>
        <v>146033.89211729378</v>
      </c>
      <c r="AE34" s="144">
        <f t="shared" si="14"/>
        <v>21651.781554384874</v>
      </c>
      <c r="AF34" s="49">
        <v>2</v>
      </c>
      <c r="AG34" s="49">
        <f>IFERROR(INDEX('Com Measure Mapping'!$X:$X,MATCH($B34,'Com Measure Mapping'!$B:$B,0)),"N/A")</f>
        <v>0.87113712164319834</v>
      </c>
      <c r="AH34" s="49">
        <v>2</v>
      </c>
      <c r="AI34" s="144">
        <f t="shared" si="15"/>
        <v>87246</v>
      </c>
      <c r="AJ34" s="154">
        <f t="shared" si="4"/>
        <v>0.59743665484122266</v>
      </c>
      <c r="AK34" s="155">
        <f t="shared" si="5"/>
        <v>0.74570211048623325</v>
      </c>
      <c r="AL34" s="70">
        <f>IFERROR(IF($D$3="Original",IF($AI34=0,"-",(INDEX('APP 2885'!$G:$G,MATCH($C$2+$AA34-1,'APP 2885'!$A:$A,0))*$T34)/($AI34+$AE34)),IF($AI34=0,"-",(INDEX('APP 2885'!$G:$G,MATCH($C$2+$AC34-1,'APP 2885'!$A:$A,0))*$T34)/($AI34+$AE34))),"N/A")</f>
        <v>7.8361749030907646</v>
      </c>
      <c r="AM34" s="63">
        <f t="shared" si="6"/>
        <v>0.47391640877637636</v>
      </c>
      <c r="AN34" s="63">
        <f t="shared" si="7"/>
        <v>0.6221818644213869</v>
      </c>
      <c r="AO34" s="70">
        <f>IFERROR(IF($D$3="Original",IF($Z34=0,"-",(INDEX('APP 2885'!$E:$E,MATCH($C$2+$AA34-1,'APP 2885'!$A:$A,0))*$T34)/(Z34+AE34)),IF($Z34=0,"-",(INDEX('APP 2885'!$E:$E,MATCH($C$2+$AC34-1,'APP 2885'!$A:$A,0))*$T34)/(Z34+AE34))),"N/A")</f>
        <v>8.5380650629718673</v>
      </c>
    </row>
    <row r="35" spans="2:41" ht="13.5" thickBot="1">
      <c r="B35" s="142" t="str">
        <f t="shared" si="0"/>
        <v>Ozone Injection Laundry_Minimum 125 lb Total Washer/Extractor Capacity  and Pre Approved by CNG</v>
      </c>
      <c r="C35" s="137" t="s">
        <v>310</v>
      </c>
      <c r="D35" s="137" t="s">
        <v>94</v>
      </c>
      <c r="E35" s="137" t="s">
        <v>106</v>
      </c>
      <c r="F35" s="138" t="s">
        <v>107</v>
      </c>
      <c r="G35" s="138" t="str">
        <f t="shared" si="16"/>
        <v>Minimum 125 lb Total Washer/Extractor Capacity  and Pre Approved by CNG</v>
      </c>
      <c r="H35" s="52">
        <f>COUNTIF('All TRC 2022 Measure Data'!$B:$B,C35)</f>
        <v>0</v>
      </c>
      <c r="I35" s="162">
        <v>2627.6738</v>
      </c>
      <c r="J35" s="53" t="s">
        <v>110</v>
      </c>
      <c r="K35" s="180">
        <f>IFERROR(INDEX('Com Measure Mapping'!$T:$T,MATCH($B35,'Com Measure Mapping'!$B:$B,0)),"N/A")</f>
        <v>2627.6738128332263</v>
      </c>
      <c r="L35" s="181" t="str">
        <f>IFERROR(INDEX('Com Measure Mapping'!$U:$U,MATCH($B35,'Com Measure Mapping'!$B:$B,0)),"N/A")</f>
        <v>site</v>
      </c>
      <c r="M35" s="182">
        <f t="shared" si="8"/>
        <v>2627.6738128332263</v>
      </c>
      <c r="N35" s="67">
        <f>SUMIF('All TRC 2022 Measure Data'!$B:$B,C35,'All TRC 2022 Measure Data'!$W:$W)</f>
        <v>0</v>
      </c>
      <c r="O35" s="184">
        <f>IFERROR(INDEX('Com Measure Mapping'!$Y:$Y,MATCH($B35,'Com Measure Mapping'!$B:$B,0)),"N/A")</f>
        <v>2.1162339850484582</v>
      </c>
      <c r="P35" s="184">
        <f>IFERROR(INDEX('Com Measure Mapping'!$Z:$Z,MATCH($B35,'Com Measure Mapping'!$B:$B,0)),"N/A")</f>
        <v>2.0739093053474886</v>
      </c>
      <c r="Q35" s="185">
        <f t="shared" si="1"/>
        <v>-2.0000000000000177E-2</v>
      </c>
      <c r="R35" s="186">
        <f t="shared" si="60"/>
        <v>0</v>
      </c>
      <c r="S35" s="186">
        <f t="shared" si="9"/>
        <v>0</v>
      </c>
      <c r="T35" s="168">
        <f t="shared" si="10"/>
        <v>0</v>
      </c>
      <c r="U35" s="67"/>
      <c r="V35" s="187">
        <f>IFERROR(INDEX('Com Measure Mapping'!$V:$V,MATCH($B35,'Com Measure Mapping'!$B:$B,0)),"N/A")</f>
        <v>14325.891111111114</v>
      </c>
      <c r="W35" s="64">
        <v>14325.891111111114</v>
      </c>
      <c r="X35" s="64">
        <f t="shared" si="11"/>
        <v>0</v>
      </c>
      <c r="Y35" s="64">
        <f t="shared" si="2"/>
        <v>910.40443300158586</v>
      </c>
      <c r="Z35" s="64">
        <f t="shared" si="12"/>
        <v>0</v>
      </c>
      <c r="AA35" s="52">
        <v>10</v>
      </c>
      <c r="AB35" s="189">
        <f>IFERROR(INDEX('Com Measure Mapping'!$W:$W,MATCH($B35,'Com Measure Mapping'!$B:$B,0)),"N/A")</f>
        <v>10</v>
      </c>
      <c r="AC35" s="188">
        <f t="shared" si="13"/>
        <v>10</v>
      </c>
      <c r="AD35" s="147">
        <f t="shared" si="3"/>
        <v>0</v>
      </c>
      <c r="AE35" s="145">
        <f t="shared" si="14"/>
        <v>0</v>
      </c>
      <c r="AF35" s="54">
        <v>9000</v>
      </c>
      <c r="AG35" s="191">
        <f>IFERROR(INDEX('Com Measure Mapping'!$X:$X,MATCH($B35,'Com Measure Mapping'!$B:$B,0)),"N/A")</f>
        <v>6806.7884467940185</v>
      </c>
      <c r="AH35" s="54">
        <v>9000</v>
      </c>
      <c r="AI35" s="145">
        <f t="shared" si="15"/>
        <v>0</v>
      </c>
      <c r="AJ35" s="156">
        <f t="shared" si="4"/>
        <v>0</v>
      </c>
      <c r="AK35" s="157">
        <f t="shared" si="5"/>
        <v>0</v>
      </c>
      <c r="AL35" s="163" t="str">
        <f>IFERROR(IF($D$3="Original",IF($AI35=0,"-",(INDEX('APP 2885'!$G:$G,MATCH($C$2+$AA35-1,'APP 2885'!$A:$A,0))*$T35)/($AI35+$AE35)),IF($AI35=0,"-",(INDEX('APP 2885'!$G:$G,MATCH($C$2+$AC35-1,'APP 2885'!$A:$A,0))*$T35)/($AI35+$AE35))),"N/A")</f>
        <v>-</v>
      </c>
      <c r="AM35" s="64">
        <f t="shared" si="6"/>
        <v>0</v>
      </c>
      <c r="AN35" s="64">
        <f t="shared" si="7"/>
        <v>0</v>
      </c>
      <c r="AO35" s="163" t="str">
        <f>IFERROR(IF($D$3="Original",IF($Z35=0,"-",(INDEX('APP 2885'!$E:$E,MATCH($C$2+$AA35-1,'APP 2885'!$A:$A,0))*$T35)/(Z35+AE35)),IF($Z35=0,"-",(INDEX('APP 2885'!$E:$E,MATCH($C$2+$AC35-1,'APP 2885'!$A:$A,0))*$T35)/(Z35+AE35))),"N/A")</f>
        <v>-</v>
      </c>
    </row>
    <row r="36" spans="2:41" ht="13.5" thickBot="1">
      <c r="B36" s="142" t="str">
        <f t="shared" si="0"/>
        <v>Radiant Heating_None</v>
      </c>
      <c r="C36" s="135" t="s">
        <v>122</v>
      </c>
      <c r="D36" s="135" t="s">
        <v>6</v>
      </c>
      <c r="E36" s="135" t="s">
        <v>63</v>
      </c>
      <c r="F36" s="136" t="s">
        <v>11</v>
      </c>
      <c r="G36" s="136" t="str">
        <f t="shared" si="16"/>
        <v>None</v>
      </c>
      <c r="H36" s="47">
        <f>COUNTIF('All TRC 2022 Measure Data'!$B:$B,C36)</f>
        <v>38</v>
      </c>
      <c r="I36" s="164">
        <v>4.33</v>
      </c>
      <c r="J36" s="48" t="s">
        <v>55</v>
      </c>
      <c r="K36" s="164">
        <f>IFERROR(INDEX('Com Measure Mapping'!$T:$T,MATCH($B36,'Com Measure Mapping'!$B:$B,0)),"N/A")</f>
        <v>0.12006073942736867</v>
      </c>
      <c r="L36" s="66" t="str">
        <f>IFERROR(INDEX('Com Measure Mapping'!$U:$U,MATCH($B36,'Com Measure Mapping'!$B:$B,0)),"N/A")</f>
        <v>120 kBtu/Hr</v>
      </c>
      <c r="M36" s="183">
        <v>1.92</v>
      </c>
      <c r="N36" s="66">
        <f>SUMIF('All TRC 2022 Measure Data'!$B:$B,C36,'All TRC 2022 Measure Data'!$W:$W)</f>
        <v>3850</v>
      </c>
      <c r="O36" s="165">
        <f>IFERROR(INDEX('Com Measure Mapping'!$Y:$Y,MATCH($B36,'Com Measure Mapping'!$B:$B,0)),"N/A")</f>
        <v>35.348204047092466</v>
      </c>
      <c r="P36" s="165">
        <f>IFERROR(INDEX('Com Measure Mapping'!$Z:$Z,MATCH($B36,'Com Measure Mapping'!$B:$B,0)),"N/A")</f>
        <v>64.240929300196882</v>
      </c>
      <c r="Q36" s="167">
        <f t="shared" si="1"/>
        <v>0.81737463138472977</v>
      </c>
      <c r="R36" s="166">
        <f t="shared" si="60"/>
        <v>4235</v>
      </c>
      <c r="S36" s="166">
        <f t="shared" si="9"/>
        <v>6871</v>
      </c>
      <c r="T36" s="192">
        <f t="shared" si="10"/>
        <v>13192.32</v>
      </c>
      <c r="U36" s="66"/>
      <c r="V36" s="143">
        <f>IFERROR(INDEX('Com Measure Mapping'!$V:$V,MATCH($B36,'Com Measure Mapping'!$B:$B,0)),"N/A")</f>
        <v>0.19294238094510707</v>
      </c>
      <c r="W36" s="63">
        <v>21</v>
      </c>
      <c r="X36" s="63">
        <f t="shared" si="11"/>
        <v>144291</v>
      </c>
      <c r="Y36" s="63">
        <f t="shared" si="2"/>
        <v>0.76320014396168467</v>
      </c>
      <c r="Z36" s="63">
        <f t="shared" si="12"/>
        <v>139047.05181083927</v>
      </c>
      <c r="AA36" s="47">
        <v>18</v>
      </c>
      <c r="AB36" s="47">
        <f>IFERROR(INDEX('Com Measure Mapping'!$W:$W,MATCH($B36,'Com Measure Mapping'!$B:$B,0)),"N/A")</f>
        <v>12</v>
      </c>
      <c r="AC36" s="190">
        <f t="shared" si="13"/>
        <v>12</v>
      </c>
      <c r="AD36" s="146">
        <f t="shared" si="3"/>
        <v>116532.18198134965</v>
      </c>
      <c r="AE36" s="144">
        <f t="shared" si="14"/>
        <v>34462.413096367876</v>
      </c>
      <c r="AF36" s="49">
        <v>15</v>
      </c>
      <c r="AG36" s="49">
        <f>IFERROR(INDEX('Com Measure Mapping'!$X:$X,MATCH($B36,'Com Measure Mapping'!$B:$B,0)),"N/A")</f>
        <v>340.21199250000006</v>
      </c>
      <c r="AH36" s="49">
        <v>15</v>
      </c>
      <c r="AI36" s="144">
        <f t="shared" si="15"/>
        <v>103065</v>
      </c>
      <c r="AJ36" s="154">
        <f t="shared" si="4"/>
        <v>0.88443379543425171</v>
      </c>
      <c r="AK36" s="155">
        <f t="shared" si="5"/>
        <v>1.1801668067828541</v>
      </c>
      <c r="AL36" s="70">
        <f>IFERROR(IF($D$3="Original",IF($AI36=0,"-",(INDEX('APP 2885'!$G:$G,MATCH($C$2+$AA36-1,'APP 2885'!$A:$A,0))*$T36)/($AI36+$AE36)),IF($AI36=0,"-",(INDEX('APP 2885'!$G:$G,MATCH($C$2+$AC36-1,'APP 2885'!$A:$A,0))*$T36)/($AI36+$AE36))),"N/A")</f>
        <v>1.8648336813294777</v>
      </c>
      <c r="AM36" s="63">
        <f t="shared" si="6"/>
        <v>1.1932073136079526</v>
      </c>
      <c r="AN36" s="63">
        <f t="shared" si="7"/>
        <v>1.4889403249565549</v>
      </c>
      <c r="AO36" s="70">
        <f>IFERROR(IF($D$3="Original",IF($Z36=0,"-",(INDEX('APP 2885'!$E:$E,MATCH($C$2+$AA36-1,'APP 2885'!$A:$A,0))*$T36)/(Z36+AE36)),IF($Z36=0,"-",(INDEX('APP 2885'!$E:$E,MATCH($C$2+$AC36-1,'APP 2885'!$A:$A,0))*$T36)/(Z36+AE36))),"N/A")</f>
        <v>1.3437346706411002</v>
      </c>
    </row>
    <row r="37" spans="2:41" ht="13.5" thickBot="1">
      <c r="B37" s="142" t="str">
        <f t="shared" si="0"/>
        <v>Tankless Water Heater_Minimum .87 Energy Factor</v>
      </c>
      <c r="C37" s="137" t="s">
        <v>123</v>
      </c>
      <c r="D37" s="137" t="s">
        <v>58</v>
      </c>
      <c r="E37" s="137" t="s">
        <v>9</v>
      </c>
      <c r="F37" s="138" t="s">
        <v>64</v>
      </c>
      <c r="G37" s="138" t="str">
        <f t="shared" si="16"/>
        <v>Minimum .87 Energy Factor</v>
      </c>
      <c r="H37" s="52">
        <f>COUNTIF('All TRC 2022 Measure Data'!$B:$B,C37)</f>
        <v>1</v>
      </c>
      <c r="I37" s="162">
        <v>22</v>
      </c>
      <c r="J37" s="53" t="s">
        <v>59</v>
      </c>
      <c r="K37" s="180">
        <f>IFERROR(INDEX('Com Measure Mapping'!$T:$T,MATCH($B37,'Com Measure Mapping'!$B:$B,0)),"N/A")</f>
        <v>21.642595007568275</v>
      </c>
      <c r="L37" s="181" t="str">
        <f>IFERROR(INDEX('Com Measure Mapping'!$U:$U,MATCH($B37,'Com Measure Mapping'!$B:$B,0)),"N/A")</f>
        <v>gpm</v>
      </c>
      <c r="M37" s="182">
        <f t="shared" si="8"/>
        <v>21.642595007568275</v>
      </c>
      <c r="N37" s="67">
        <f>SUMIF('All TRC 2022 Measure Data'!$B:$B,C37,'All TRC 2022 Measure Data'!$W:$W)</f>
        <v>4.8</v>
      </c>
      <c r="O37" s="184">
        <f>IFERROR(INDEX('Com Measure Mapping'!$Y:$Y,MATCH($B37,'Com Measure Mapping'!$B:$B,0)),"N/A")</f>
        <v>3146.9543637455163</v>
      </c>
      <c r="P37" s="184">
        <f>IFERROR(INDEX('Com Measure Mapping'!$Z:$Z,MATCH($B37,'Com Measure Mapping'!$B:$B,0)),"N/A")</f>
        <v>3472.1844687802422</v>
      </c>
      <c r="Q37" s="185">
        <f t="shared" si="1"/>
        <v>0.10334757592341948</v>
      </c>
      <c r="R37" s="186">
        <f t="shared" si="60"/>
        <v>5</v>
      </c>
      <c r="S37" s="186">
        <f t="shared" si="9"/>
        <v>6</v>
      </c>
      <c r="T37" s="168">
        <f t="shared" si="10"/>
        <v>129.85</v>
      </c>
      <c r="U37" s="67"/>
      <c r="V37" s="187">
        <f>IFERROR(INDEX('Com Measure Mapping'!$V:$V,MATCH($B37,'Com Measure Mapping'!$B:$B,0)),"N/A")</f>
        <v>27.008310440738232</v>
      </c>
      <c r="W37" s="64">
        <v>137.9</v>
      </c>
      <c r="X37" s="64">
        <f t="shared" si="11"/>
        <v>827.40000000000009</v>
      </c>
      <c r="Y37" s="64">
        <f t="shared" si="2"/>
        <v>7.498462838240683</v>
      </c>
      <c r="Z37" s="64">
        <f t="shared" si="12"/>
        <v>782.40922297055602</v>
      </c>
      <c r="AA37" s="52">
        <v>18</v>
      </c>
      <c r="AB37" s="189">
        <f>IFERROR(INDEX('Com Measure Mapping'!$W:$W,MATCH($B37,'Com Measure Mapping'!$B:$B,0)),"N/A")</f>
        <v>10</v>
      </c>
      <c r="AC37" s="188">
        <f t="shared" si="13"/>
        <v>10</v>
      </c>
      <c r="AD37" s="147">
        <f t="shared" si="3"/>
        <v>999.75215973157913</v>
      </c>
      <c r="AE37" s="145">
        <f t="shared" si="14"/>
        <v>339.2082924431312</v>
      </c>
      <c r="AF37" s="54">
        <v>120</v>
      </c>
      <c r="AG37" s="191">
        <f>IFERROR(INDEX('Com Measure Mapping'!$X:$X,MATCH($B37,'Com Measure Mapping'!$B:$B,0)),"N/A")</f>
        <v>24.066081102537211</v>
      </c>
      <c r="AH37" s="54">
        <v>120</v>
      </c>
      <c r="AI37" s="145">
        <f t="shared" si="15"/>
        <v>720</v>
      </c>
      <c r="AJ37" s="156">
        <f t="shared" si="4"/>
        <v>0.72017848923008176</v>
      </c>
      <c r="AK37" s="157">
        <f t="shared" si="5"/>
        <v>1.0594708719884287</v>
      </c>
      <c r="AL37" s="163">
        <f>IFERROR(IF($D$3="Original",IF($AI37=0,"-",(INDEX('APP 2885'!$G:$G,MATCH($C$2+$AA37-1,'APP 2885'!$A:$A,0))*$T37)/($AI37+$AE37)),IF($AI37=0,"-",(INDEX('APP 2885'!$G:$G,MATCH($C$2+$AC37-1,'APP 2885'!$A:$A,0))*$T37)/($AI37+$AE37))),"N/A")</f>
        <v>2.0116865667874824</v>
      </c>
      <c r="AM37" s="64">
        <f t="shared" si="6"/>
        <v>0.78260318355363501</v>
      </c>
      <c r="AN37" s="64">
        <f t="shared" si="7"/>
        <v>1.1218955663119821</v>
      </c>
      <c r="AO37" s="163">
        <f>IFERROR(IF($D$3="Original",IF($Z37=0,"-",(INDEX('APP 2885'!$E:$E,MATCH($C$2+$AA37-1,'APP 2885'!$A:$A,0))*$T37)/(Z37+AE37)),IF($Z37=0,"-",(INDEX('APP 2885'!$E:$E,MATCH($C$2+$AC37-1,'APP 2885'!$A:$A,0))*$T37)/(Z37+AE37))),"N/A")</f>
        <v>1.7270472526228422</v>
      </c>
    </row>
    <row r="38" spans="2:41" ht="13.5" thickBot="1">
      <c r="B38" s="142" t="str">
        <f t="shared" si="0"/>
        <v>Tankless Water Heater - Tier 2_Minimum .93 Energy Factor</v>
      </c>
      <c r="C38" s="135" t="s">
        <v>124</v>
      </c>
      <c r="D38" s="135" t="s">
        <v>66</v>
      </c>
      <c r="E38" s="135" t="s">
        <v>9</v>
      </c>
      <c r="F38" s="136" t="s">
        <v>67</v>
      </c>
      <c r="G38" s="136" t="str">
        <f t="shared" si="16"/>
        <v>Minimum .93 Energy Factor</v>
      </c>
      <c r="H38" s="47">
        <f>COUNTIF('All TRC 2022 Measure Data'!$B:$B,C38)</f>
        <v>17</v>
      </c>
      <c r="I38" s="164">
        <v>38</v>
      </c>
      <c r="J38" s="48" t="s">
        <v>59</v>
      </c>
      <c r="K38" s="164">
        <f>IFERROR(INDEX('Com Measure Mapping'!$T:$T,MATCH($B38,'Com Measure Mapping'!$B:$B,0)),"N/A")</f>
        <v>37.62785514993638</v>
      </c>
      <c r="L38" s="66" t="str">
        <f>IFERROR(INDEX('Com Measure Mapping'!$U:$U,MATCH($B38,'Com Measure Mapping'!$B:$B,0)),"N/A")</f>
        <v>gpm</v>
      </c>
      <c r="M38" s="183">
        <f t="shared" si="8"/>
        <v>37.62785514993638</v>
      </c>
      <c r="N38" s="66">
        <f>SUMIF('All TRC 2022 Measure Data'!$B:$B,C38,'All TRC 2022 Measure Data'!$W:$W)</f>
        <v>105.60000000000001</v>
      </c>
      <c r="O38" s="165">
        <f>IFERROR(INDEX('Com Measure Mapping'!$Y:$Y,MATCH($B38,'Com Measure Mapping'!$B:$B,0)),"N/A")</f>
        <v>3146.9543637455163</v>
      </c>
      <c r="P38" s="165">
        <f>IFERROR(INDEX('Com Measure Mapping'!$Z:$Z,MATCH($B38,'Com Measure Mapping'!$B:$B,0)),"N/A")</f>
        <v>3472.1844687802422</v>
      </c>
      <c r="Q38" s="167">
        <f t="shared" si="1"/>
        <v>0.10334757592341948</v>
      </c>
      <c r="R38" s="166">
        <f t="shared" si="60"/>
        <v>116</v>
      </c>
      <c r="S38" s="166">
        <f t="shared" si="9"/>
        <v>128</v>
      </c>
      <c r="T38" s="192">
        <f t="shared" si="10"/>
        <v>4816.3599999999997</v>
      </c>
      <c r="U38" s="66"/>
      <c r="V38" s="143">
        <f>IFERROR(INDEX('Com Measure Mapping'!$V:$V,MATCH($B38,'Com Measure Mapping'!$B:$B,0)),"N/A")</f>
        <v>54.368520691779096</v>
      </c>
      <c r="W38" s="63">
        <v>52.8</v>
      </c>
      <c r="X38" s="63">
        <f t="shared" si="11"/>
        <v>6758.4</v>
      </c>
      <c r="Y38" s="63">
        <f t="shared" si="2"/>
        <v>13.036841165573481</v>
      </c>
      <c r="Z38" s="63">
        <f t="shared" si="12"/>
        <v>5089.6843308065945</v>
      </c>
      <c r="AA38" s="47">
        <v>20</v>
      </c>
      <c r="AB38" s="47">
        <f>IFERROR(INDEX('Com Measure Mapping'!$W:$W,MATCH($B38,'Com Measure Mapping'!$B:$B,0)),"N/A")</f>
        <v>10</v>
      </c>
      <c r="AC38" s="190">
        <f t="shared" si="13"/>
        <v>10</v>
      </c>
      <c r="AD38" s="146">
        <f t="shared" si="3"/>
        <v>37082.52839464604</v>
      </c>
      <c r="AE38" s="144">
        <f t="shared" si="14"/>
        <v>12581.819417723522</v>
      </c>
      <c r="AF38" s="49">
        <v>150</v>
      </c>
      <c r="AG38" s="49">
        <f>IFERROR(INDEX('Com Measure Mapping'!$X:$X,MATCH($B38,'Com Measure Mapping'!$B:$B,0)),"N/A")</f>
        <v>44.69415061899771</v>
      </c>
      <c r="AH38" s="49">
        <v>150</v>
      </c>
      <c r="AI38" s="144">
        <f t="shared" si="15"/>
        <v>19200</v>
      </c>
      <c r="AJ38" s="154">
        <f t="shared" si="4"/>
        <v>0.51776404768484141</v>
      </c>
      <c r="AK38" s="155">
        <f t="shared" si="5"/>
        <v>0.85705643044318858</v>
      </c>
      <c r="AL38" s="70">
        <f>IFERROR(IF($D$3="Original",IF($AI38=0,"-",(INDEX('APP 2885'!$G:$G,MATCH($C$2+$AA38-1,'APP 2885'!$A:$A,0))*$T38)/($AI38+$AE38)),IF($AI38=0,"-",(INDEX('APP 2885'!$G:$G,MATCH($C$2+$AC38-1,'APP 2885'!$A:$A,0))*$T38)/($AI38+$AE38))),"N/A")</f>
        <v>2.4867946209558491</v>
      </c>
      <c r="AM38" s="63">
        <f t="shared" si="6"/>
        <v>0.13725289377898625</v>
      </c>
      <c r="AN38" s="63">
        <f t="shared" si="7"/>
        <v>0.47654527653733336</v>
      </c>
      <c r="AO38" s="70">
        <f>IFERROR(IF($D$3="Original",IF($Z38=0,"-",(INDEX('APP 2885'!$E:$E,MATCH($C$2+$AA38-1,'APP 2885'!$A:$A,0))*$T38)/(Z38+AE38)),IF($Z38=0,"-",(INDEX('APP 2885'!$E:$E,MATCH($C$2+$AC38-1,'APP 2885'!$A:$A,0))*$T38)/(Z38+AE38))),"N/A")</f>
        <v>4.0658605822464056</v>
      </c>
    </row>
    <row r="39" spans="2:41" ht="13.5" thickBot="1">
      <c r="B39" s="142" t="str">
        <f t="shared" si="0"/>
        <v>Warm-Air Furnace_Minimum  91% AFUE</v>
      </c>
      <c r="C39" s="137" t="s">
        <v>125</v>
      </c>
      <c r="D39" s="137" t="s">
        <v>60</v>
      </c>
      <c r="E39" s="137" t="s">
        <v>61</v>
      </c>
      <c r="F39" s="138" t="s">
        <v>62</v>
      </c>
      <c r="G39" s="138" t="str">
        <f t="shared" si="16"/>
        <v>Minimum  91% AFUE</v>
      </c>
      <c r="H39" s="52">
        <f>COUNTIF('All TRC 2022 Measure Data'!$B:$B,C39)</f>
        <v>16</v>
      </c>
      <c r="I39" s="162">
        <v>1.1000000000000001</v>
      </c>
      <c r="J39" s="53" t="s">
        <v>55</v>
      </c>
      <c r="K39" s="180">
        <f>IFERROR(INDEX('Com Measure Mapping'!$T:$T,MATCH($B39,'Com Measure Mapping'!$B:$B,0)),"N/A")</f>
        <v>3.0421730636008976E-2</v>
      </c>
      <c r="L39" s="181" t="str">
        <f>IFERROR(INDEX('Com Measure Mapping'!$U:$U,MATCH($B39,'Com Measure Mapping'!$B:$B,0)),"N/A")</f>
        <v>kBtu/Hr</v>
      </c>
      <c r="M39" s="182">
        <v>1.78</v>
      </c>
      <c r="N39" s="67">
        <f>SUMIF('All TRC 2022 Measure Data'!$B:$B,C39,'All TRC 2022 Measure Data'!$W:$W)</f>
        <v>1607</v>
      </c>
      <c r="O39" s="184">
        <f>IFERROR(INDEX('Com Measure Mapping'!$Y:$Y,MATCH($B39,'Com Measure Mapping'!$B:$B,0)),"N/A")</f>
        <v>68715.659986736282</v>
      </c>
      <c r="P39" s="184">
        <f>IFERROR(INDEX('Com Measure Mapping'!$Z:$Z,MATCH($B39,'Com Measure Mapping'!$B:$B,0)),"N/A")</f>
        <v>87695.28406661468</v>
      </c>
      <c r="Q39" s="185">
        <f t="shared" si="1"/>
        <v>0.27620522139410297</v>
      </c>
      <c r="R39" s="186">
        <f t="shared" si="60"/>
        <v>1768</v>
      </c>
      <c r="S39" s="186">
        <f t="shared" si="9"/>
        <v>2256</v>
      </c>
      <c r="T39" s="168">
        <f t="shared" si="10"/>
        <v>4015.68</v>
      </c>
      <c r="U39" s="67"/>
      <c r="V39" s="187">
        <f>IFERROR(INDEX('Com Measure Mapping'!$V:$V,MATCH($B39,'Com Measure Mapping'!$B:$B,0)),"N/A")</f>
        <v>0.50523236941532068</v>
      </c>
      <c r="W39" s="64">
        <v>0.50523236941532068</v>
      </c>
      <c r="X39" s="64">
        <f t="shared" si="11"/>
        <v>1139.8042254009636</v>
      </c>
      <c r="Y39" s="64">
        <f t="shared" si="2"/>
        <v>1.0743506360812018</v>
      </c>
      <c r="Z39" s="64">
        <f t="shared" si="12"/>
        <v>0</v>
      </c>
      <c r="AA39" s="52">
        <v>18</v>
      </c>
      <c r="AB39" s="189">
        <f>IFERROR(INDEX('Com Measure Mapping'!$W:$W,MATCH($B39,'Com Measure Mapping'!$B:$B,0)),"N/A")</f>
        <v>23</v>
      </c>
      <c r="AC39" s="188">
        <f t="shared" si="13"/>
        <v>23</v>
      </c>
      <c r="AD39" s="147">
        <f t="shared" si="3"/>
        <v>53860.778555537581</v>
      </c>
      <c r="AE39" s="145">
        <f t="shared" si="14"/>
        <v>10490.19604003106</v>
      </c>
      <c r="AF39" s="54">
        <v>5</v>
      </c>
      <c r="AG39" s="191">
        <f>IFERROR(INDEX('Com Measure Mapping'!$X:$X,MATCH($B39,'Com Measure Mapping'!$B:$B,0)),"N/A")</f>
        <v>5.2614207142857135</v>
      </c>
      <c r="AH39" s="54">
        <v>6</v>
      </c>
      <c r="AI39" s="145">
        <f t="shared" si="15"/>
        <v>13536</v>
      </c>
      <c r="AJ39" s="156">
        <f t="shared" si="4"/>
        <v>0.25131459965887043</v>
      </c>
      <c r="AK39" s="157">
        <f t="shared" si="5"/>
        <v>0.44607962759500175</v>
      </c>
      <c r="AL39" s="163">
        <f>IFERROR(IF($D$3="Original",IF($AI39=0,"-",(INDEX('APP 2885'!$G:$G,MATCH($C$2+$AA39-1,'APP 2885'!$A:$A,0))*$T39)/($AI39+$AE39)),IF($AI39=0,"-",(INDEX('APP 2885'!$G:$G,MATCH($C$2+$AC39-1,'APP 2885'!$A:$A,0))*$T39)/($AI39+$AE39))),"N/A")</f>
        <v>7.9136844758323042</v>
      </c>
      <c r="AM39" s="64">
        <f t="shared" si="6"/>
        <v>0</v>
      </c>
      <c r="AN39" s="64">
        <f t="shared" si="7"/>
        <v>0.19476502793613132</v>
      </c>
      <c r="AO39" s="163" t="str">
        <f>IFERROR(IF($D$3="Original",IF($Z39=0,"-",(INDEX('APP 2885'!$E:$E,MATCH($C$2+$AA39-1,'APP 2885'!$A:$A,0))*$T39)/(Z39+AE39)),IF($Z39=0,"-",(INDEX('APP 2885'!$E:$E,MATCH($C$2+$AC39-1,'APP 2885'!$A:$A,0))*$T39)/(Z39+AE39))),"N/A")</f>
        <v>-</v>
      </c>
    </row>
    <row r="40" spans="2:41" ht="13.5" thickBot="1">
      <c r="B40" s="142" t="str">
        <f t="shared" si="0"/>
        <v>Windows_0.27 or less U</v>
      </c>
      <c r="C40" s="135" t="s">
        <v>126</v>
      </c>
      <c r="D40" s="135" t="s">
        <v>81</v>
      </c>
      <c r="E40" s="135" t="s">
        <v>82</v>
      </c>
      <c r="F40" s="136" t="s">
        <v>83</v>
      </c>
      <c r="G40" s="136" t="str">
        <f t="shared" si="16"/>
        <v>0.27 or less U</v>
      </c>
      <c r="H40" s="47">
        <f>COUNTIF('All TRC 2022 Measure Data'!$B:$B,C40)</f>
        <v>0</v>
      </c>
      <c r="I40" s="164">
        <v>1.1000000000000001</v>
      </c>
      <c r="J40" s="48" t="s">
        <v>78</v>
      </c>
      <c r="K40" s="164" t="str">
        <f>IFERROR(INDEX('Com Measure Mapping'!$T:$T,MATCH($B40,'Com Measure Mapping'!$B:$B,0)),"N/A")</f>
        <v>N/A</v>
      </c>
      <c r="L40" s="66" t="str">
        <f>IFERROR(INDEX('Com Measure Mapping'!$U:$U,MATCH($B40,'Com Measure Mapping'!$B:$B,0)),"N/A")</f>
        <v>N/A</v>
      </c>
      <c r="M40" s="183">
        <f t="shared" si="8"/>
        <v>1.1000000000000001</v>
      </c>
      <c r="N40" s="66">
        <f>SUMIF('All TRC 2022 Measure Data'!$B:$B,C40,'All TRC 2022 Measure Data'!$W:$W)</f>
        <v>0</v>
      </c>
      <c r="O40" s="165" t="str">
        <f>IFERROR(INDEX('Com Measure Mapping'!$Y:$Y,MATCH($B40,'Com Measure Mapping'!$B:$B,0)),"N/A")</f>
        <v>N/A</v>
      </c>
      <c r="P40" s="165" t="str">
        <f>IFERROR(INDEX('Com Measure Mapping'!$Z:$Z,MATCH($B40,'Com Measure Mapping'!$B:$B,0)),"N/A")</f>
        <v>N/A</v>
      </c>
      <c r="Q40" s="167" t="str">
        <f t="shared" si="1"/>
        <v>N/A</v>
      </c>
      <c r="R40" s="166">
        <f t="shared" si="60"/>
        <v>0</v>
      </c>
      <c r="S40" s="166">
        <f t="shared" si="9"/>
        <v>0</v>
      </c>
      <c r="T40" s="192">
        <f t="shared" si="10"/>
        <v>0</v>
      </c>
      <c r="U40" s="66"/>
      <c r="V40" s="143" t="str">
        <f>IFERROR(INDEX('Com Measure Mapping'!$V:$V,MATCH($B40,'Com Measure Mapping'!$B:$B,0)),"N/A")</f>
        <v>N/A</v>
      </c>
      <c r="W40" s="63">
        <v>24.150000000000002</v>
      </c>
      <c r="X40" s="63">
        <f t="shared" si="11"/>
        <v>0</v>
      </c>
      <c r="Y40" s="63">
        <f t="shared" si="2"/>
        <v>0.87214707593966523</v>
      </c>
      <c r="Z40" s="63">
        <f t="shared" si="12"/>
        <v>0</v>
      </c>
      <c r="AA40" s="47">
        <v>45</v>
      </c>
      <c r="AB40" s="47" t="str">
        <f>IFERROR(INDEX('Com Measure Mapping'!$W:$W,MATCH($B40,'Com Measure Mapping'!$B:$B,0)),"N/A")</f>
        <v>N/A</v>
      </c>
      <c r="AC40" s="190">
        <f t="shared" si="13"/>
        <v>45</v>
      </c>
      <c r="AD40" s="146">
        <f t="shared" si="3"/>
        <v>0</v>
      </c>
      <c r="AE40" s="144">
        <f t="shared" si="14"/>
        <v>0</v>
      </c>
      <c r="AF40" s="49">
        <v>5</v>
      </c>
      <c r="AG40" s="49" t="str">
        <f>IFERROR(INDEX('Com Measure Mapping'!$X:$X,MATCH($B40,'Com Measure Mapping'!$B:$B,0)),"N/A")</f>
        <v>N/A</v>
      </c>
      <c r="AH40" s="49">
        <v>5</v>
      </c>
      <c r="AI40" s="144">
        <f t="shared" si="15"/>
        <v>0</v>
      </c>
      <c r="AJ40" s="154">
        <f t="shared" si="4"/>
        <v>0</v>
      </c>
      <c r="AK40" s="155">
        <f t="shared" si="5"/>
        <v>0</v>
      </c>
      <c r="AL40" s="70" t="str">
        <f>IFERROR(IF($D$3="Original",IF($AI40=0,"-",(INDEX('APP 2885'!$G:$G,MATCH($C$2+$AA40-1,'APP 2885'!$A:$A,0))*$T40)/($AI40+$AE40)),IF($AI40=0,"-",(INDEX('APP 2885'!$G:$G,MATCH($C$2+$AC40-1,'APP 2885'!$A:$A,0))*$T40)/($AI40+$AE40))),"N/A")</f>
        <v>-</v>
      </c>
      <c r="AM40" s="63">
        <f t="shared" si="6"/>
        <v>0</v>
      </c>
      <c r="AN40" s="63">
        <f t="shared" si="7"/>
        <v>0</v>
      </c>
      <c r="AO40" s="70" t="str">
        <f>IFERROR(IF($D$3="Original",IF($Z40=0,"-",(INDEX('APP 2885'!$E:$E,MATCH($C$2+$AA40-1,'APP 2885'!$A:$A,0))*$T40)/(Z40+AE40)),IF($Z40=0,"-",(INDEX('APP 2885'!$E:$E,MATCH($C$2+$AC40-1,'APP 2885'!$A:$A,0))*$T40)/(Z40+AE40))),"N/A")</f>
        <v>-</v>
      </c>
    </row>
    <row r="41" spans="2:41" ht="13.5" thickBot="1">
      <c r="B41" s="142" t="str">
        <f t="shared" si="0"/>
        <v>Windows_0.3 or less U</v>
      </c>
      <c r="C41" s="137" t="s">
        <v>298</v>
      </c>
      <c r="D41" s="137" t="s">
        <v>81</v>
      </c>
      <c r="E41" s="137" t="s">
        <v>299</v>
      </c>
      <c r="F41" s="138" t="s">
        <v>789</v>
      </c>
      <c r="G41" s="138" t="str">
        <f t="shared" si="16"/>
        <v>0.3 or less U</v>
      </c>
      <c r="H41" s="52">
        <f>COUNTIF('All TRC 2022 Measure Data'!$B:$B,C41)</f>
        <v>10</v>
      </c>
      <c r="I41" s="162">
        <v>0.48770000000000002</v>
      </c>
      <c r="J41" s="53" t="s">
        <v>78</v>
      </c>
      <c r="K41" s="180">
        <f>IFERROR(INDEX('Com Measure Mapping'!$T:$T,MATCH($B41,'Com Measure Mapping'!$B:$B,0)),"N/A")</f>
        <v>0.36073434904625079</v>
      </c>
      <c r="L41" s="181" t="str">
        <f>IFERROR(INDEX('Com Measure Mapping'!$U:$U,MATCH($B41,'Com Measure Mapping'!$B:$B,0)),"N/A")</f>
        <v>sqft window</v>
      </c>
      <c r="M41" s="182">
        <f t="shared" si="8"/>
        <v>0.36073434904625079</v>
      </c>
      <c r="N41" s="67">
        <f>SUMIF('All TRC 2022 Measure Data'!$B:$B,C41,'All TRC 2022 Measure Data'!$W:$W)</f>
        <v>1085.7400000000002</v>
      </c>
      <c r="O41" s="184">
        <f>IFERROR(INDEX('Com Measure Mapping'!$Y:$Y,MATCH($B41,'Com Measure Mapping'!$B:$B,0)),"N/A")</f>
        <v>578.69898949588298</v>
      </c>
      <c r="P41" s="184">
        <f>IFERROR(INDEX('Com Measure Mapping'!$Z:$Z,MATCH($B41,'Com Measure Mapping'!$B:$B,0)),"N/A")</f>
        <v>860.81655309084351</v>
      </c>
      <c r="Q41" s="185">
        <f t="shared" si="1"/>
        <v>0.48750312116618544</v>
      </c>
      <c r="R41" s="186">
        <f t="shared" si="60"/>
        <v>1194</v>
      </c>
      <c r="S41" s="186">
        <f t="shared" si="9"/>
        <v>1776</v>
      </c>
      <c r="T41" s="168">
        <f t="shared" si="10"/>
        <v>640.66</v>
      </c>
      <c r="U41" s="67"/>
      <c r="V41" s="187">
        <f>IFERROR(INDEX('Com Measure Mapping'!$V:$V,MATCH($B41,'Com Measure Mapping'!$B:$B,0)),"N/A")</f>
        <v>24.150000000000002</v>
      </c>
      <c r="W41" s="64">
        <v>24.150000000000002</v>
      </c>
      <c r="X41" s="64">
        <f t="shared" si="11"/>
        <v>42890.400000000001</v>
      </c>
      <c r="Y41" s="64">
        <f t="shared" si="2"/>
        <v>0.28601218882880558</v>
      </c>
      <c r="Z41" s="64">
        <f t="shared" si="12"/>
        <v>42382.442352640042</v>
      </c>
      <c r="AA41" s="52">
        <v>45</v>
      </c>
      <c r="AB41" s="189">
        <f>IFERROR(INDEX('Com Measure Mapping'!$W:$W,MATCH($B41,'Com Measure Mapping'!$B:$B,0)),"N/A")</f>
        <v>45</v>
      </c>
      <c r="AC41" s="188">
        <f t="shared" si="13"/>
        <v>45</v>
      </c>
      <c r="AD41" s="147">
        <f t="shared" si="3"/>
        <v>11287.87364992941</v>
      </c>
      <c r="AE41" s="145">
        <f t="shared" si="14"/>
        <v>1673.601729970092</v>
      </c>
      <c r="AF41" s="54">
        <v>7.5</v>
      </c>
      <c r="AG41" s="191">
        <f>IFERROR(INDEX('Com Measure Mapping'!$X:$X,MATCH($B41,'Com Measure Mapping'!$B:$B,0)),"N/A")</f>
        <v>4.9999930262760257</v>
      </c>
      <c r="AH41" s="54">
        <v>7.5</v>
      </c>
      <c r="AI41" s="145">
        <f t="shared" si="15"/>
        <v>13320</v>
      </c>
      <c r="AJ41" s="156">
        <f t="shared" ref="AJ41:AJ42" si="61">IF(ISERROR(AI41/AD41),0,AI41/AD41)</f>
        <v>1.1800273827554137</v>
      </c>
      <c r="AK41" s="157">
        <f t="shared" si="5"/>
        <v>1.3282928384004242</v>
      </c>
      <c r="AL41" s="163">
        <f>IFERROR(IF($D$3="Original",IF($AI41=0,"-",(INDEX('APP 2885'!$G:$G,MATCH($C$2+$AA41-1,'APP 2885'!$A:$A,0))*$T41)/($AI41+$AE41)),IF($AI41=0,"-",(INDEX('APP 2885'!$G:$G,MATCH($C$2+$AC41-1,'APP 2885'!$A:$A,0))*$T41)/($AI41+$AE41))),"N/A")</f>
        <v>4.3992198063876655</v>
      </c>
      <c r="AM41" s="64">
        <f t="shared" si="6"/>
        <v>3.7546878771897916</v>
      </c>
      <c r="AN41" s="64">
        <f t="shared" si="7"/>
        <v>3.9029533328348021</v>
      </c>
      <c r="AO41" s="163">
        <f>IFERROR(IF($D$3="Original",IF($Z41=0,"-",(INDEX('APP 2885'!$E:$E,MATCH($C$2+$AA41-1,'APP 2885'!$A:$A,0))*$T41)/(Z41+AE41)),IF($Z41=0,"-",(INDEX('APP 2885'!$E:$E,MATCH($C$2+$AC41-1,'APP 2885'!$A:$A,0))*$T41)/(Z41+AE41))),"N/A")</f>
        <v>1.3610793638602263</v>
      </c>
    </row>
    <row r="42" spans="2:41" ht="13.5" thickBot="1">
      <c r="B42" s="142" t="str">
        <f t="shared" ref="B42" si="62">D42&amp;"_"&amp;F42</f>
        <v>Windows_U-.22 or less</v>
      </c>
      <c r="C42" s="135" t="s">
        <v>312</v>
      </c>
      <c r="D42" s="135" t="s">
        <v>81</v>
      </c>
      <c r="E42" s="135" t="s">
        <v>311</v>
      </c>
      <c r="F42" s="136" t="s">
        <v>797</v>
      </c>
      <c r="G42" s="136" t="str">
        <f t="shared" si="16"/>
        <v>U-.22 or less</v>
      </c>
      <c r="H42" s="47">
        <f>COUNTIF('All TRC 2022 Measure Data'!$B:$B,C42)</f>
        <v>0</v>
      </c>
      <c r="I42" s="164">
        <v>0.54</v>
      </c>
      <c r="J42" s="48" t="s">
        <v>78</v>
      </c>
      <c r="K42" s="164">
        <f>IFERROR(INDEX('Com Measure Mapping'!$T:$T,MATCH($B42,'Com Measure Mapping'!$B:$B,0)),"N/A")</f>
        <v>0.36073434904625079</v>
      </c>
      <c r="L42" s="66" t="str">
        <f>IFERROR(INDEX('Com Measure Mapping'!$U:$U,MATCH($B42,'Com Measure Mapping'!$B:$B,0)),"N/A")</f>
        <v>sqft window</v>
      </c>
      <c r="M42" s="183">
        <f t="shared" si="8"/>
        <v>0.36073434904625079</v>
      </c>
      <c r="N42" s="66">
        <f>SUMIF('All TRC 2022 Measure Data'!$B:$B,C42,'All TRC 2022 Measure Data'!$W:$W)</f>
        <v>0</v>
      </c>
      <c r="O42" s="165">
        <f>IFERROR(INDEX('Com Measure Mapping'!$Y:$Y,MATCH($B42,'Com Measure Mapping'!$B:$B,0)),"N/A")</f>
        <v>578.69898949588298</v>
      </c>
      <c r="P42" s="165">
        <f>IFERROR(INDEX('Com Measure Mapping'!$Z:$Z,MATCH($B42,'Com Measure Mapping'!$B:$B,0)),"N/A")</f>
        <v>860.81655309084351</v>
      </c>
      <c r="Q42" s="167">
        <f t="shared" ref="Q42" si="63">IFERROR((P42-O42)/O42,"N/A")</f>
        <v>0.48750312116618544</v>
      </c>
      <c r="R42" s="166">
        <f t="shared" si="60"/>
        <v>0</v>
      </c>
      <c r="S42" s="166">
        <f t="shared" si="9"/>
        <v>0</v>
      </c>
      <c r="T42" s="192">
        <f t="shared" si="10"/>
        <v>0</v>
      </c>
      <c r="U42" s="66"/>
      <c r="V42" s="143">
        <f>IFERROR(INDEX('Com Measure Mapping'!$V:$V,MATCH($B42,'Com Measure Mapping'!$B:$B,0)),"N/A")</f>
        <v>24.150000000000002</v>
      </c>
      <c r="W42" s="63">
        <v>24.150000000000002</v>
      </c>
      <c r="X42" s="63">
        <f t="shared" ref="X42" si="64">IF($D$3="Original",N42*U42,S42*W42)</f>
        <v>0</v>
      </c>
      <c r="Y42" s="63">
        <f t="shared" si="2"/>
        <v>0.28601218882880558</v>
      </c>
      <c r="Z42" s="63">
        <f t="shared" ref="Z42" si="65">IF($D$3="Original",MAX(0,N42*(U42-Y42)),MAX(0,S42*(W42-Y42)))</f>
        <v>0</v>
      </c>
      <c r="AA42" s="47">
        <v>45</v>
      </c>
      <c r="AB42" s="47">
        <f>IFERROR(INDEX('Com Measure Mapping'!$W:$W,MATCH($B42,'Com Measure Mapping'!$B:$B,0)),"N/A")</f>
        <v>45</v>
      </c>
      <c r="AC42" s="190">
        <f t="shared" si="13"/>
        <v>45</v>
      </c>
      <c r="AD42" s="146">
        <f t="shared" si="3"/>
        <v>0</v>
      </c>
      <c r="AE42" s="144">
        <f t="shared" si="14"/>
        <v>0</v>
      </c>
      <c r="AF42" s="49">
        <v>9</v>
      </c>
      <c r="AG42" s="49">
        <f>IFERROR(INDEX('Com Measure Mapping'!$X:$X,MATCH($B42,'Com Measure Mapping'!$B:$B,0)),"N/A")</f>
        <v>4.9999930262760257</v>
      </c>
      <c r="AH42" s="49">
        <v>9</v>
      </c>
      <c r="AI42" s="144">
        <f t="shared" ref="AI42" si="66">IF($D$3="Original",N42*AF42,S42*AH42)</f>
        <v>0</v>
      </c>
      <c r="AJ42" s="154">
        <f t="shared" si="61"/>
        <v>0</v>
      </c>
      <c r="AK42" s="155">
        <f t="shared" ref="AK42" si="67">IF(AD42=0,0,(AI42+AE42)/AD42)</f>
        <v>0</v>
      </c>
      <c r="AL42" s="70" t="str">
        <f>IFERROR(IF($D$3="Original",IF($AI42=0,"-",(INDEX('APP 2885'!$G:$G,MATCH($C$2+$AA42-1,'APP 2885'!$A:$A,0))*$T42)/($AI42+$AE42)),IF($AI42=0,"-",(INDEX('APP 2885'!$G:$G,MATCH($C$2+$AC42-1,'APP 2885'!$A:$A,0))*$T42)/($AI42+$AE42))),"N/A")</f>
        <v>-</v>
      </c>
      <c r="AM42" s="63">
        <f t="shared" ref="AM42" si="68">IF(ISERROR(Z42/AD42),0,Z42/AD42)</f>
        <v>0</v>
      </c>
      <c r="AN42" s="63">
        <f t="shared" ref="AN42" si="69">IF(AD42=0,0,(Z42+AE42)/AD42)</f>
        <v>0</v>
      </c>
      <c r="AO42" s="70" t="str">
        <f>IFERROR(IF($D$3="Original",IF($Z42=0,"-",(INDEX('APP 2885'!$E:$E,MATCH($C$2+$AA42-1,'APP 2885'!$A:$A,0))*$T42)/(Z42+AE42)),IF($Z42=0,"-",(INDEX('APP 2885'!$E:$E,MATCH($C$2+$AC42-1,'APP 2885'!$A:$A,0))*$T42)/(Z42+AE42))),"N/A")</f>
        <v>-</v>
      </c>
    </row>
    <row r="43" spans="2:41" ht="14.25" customHeight="1" thickBot="1">
      <c r="B43" s="142"/>
      <c r="C43" s="139" t="s">
        <v>26</v>
      </c>
      <c r="D43" s="139"/>
      <c r="E43" s="139"/>
      <c r="F43" s="139"/>
      <c r="G43" s="139"/>
      <c r="H43" s="45"/>
      <c r="I43" s="68"/>
      <c r="J43" s="45"/>
      <c r="K43" s="45"/>
      <c r="L43" s="45"/>
      <c r="M43" s="45"/>
      <c r="N43" s="68"/>
      <c r="O43" s="68"/>
      <c r="P43" s="68"/>
      <c r="Q43" s="68"/>
      <c r="R43" s="68"/>
      <c r="S43" s="68"/>
      <c r="T43" s="68"/>
      <c r="U43" s="45"/>
      <c r="V43" s="45"/>
      <c r="W43" s="45"/>
      <c r="X43" s="45"/>
      <c r="Y43" s="65"/>
      <c r="Z43" s="65"/>
      <c r="AA43" s="45"/>
      <c r="AB43" s="45"/>
      <c r="AC43" s="45"/>
      <c r="AD43" s="45"/>
      <c r="AE43" s="45"/>
      <c r="AF43" s="45"/>
      <c r="AG43" s="45"/>
      <c r="AH43" s="45"/>
      <c r="AI43" s="152">
        <f>SUM(AI5:AI42)</f>
        <v>1800082.9116785049</v>
      </c>
      <c r="AJ43" s="158"/>
      <c r="AK43" s="159"/>
      <c r="AL43" s="72"/>
      <c r="AM43" s="65"/>
      <c r="AN43" s="65"/>
      <c r="AO43" s="72"/>
    </row>
    <row r="44" spans="2:41" ht="13.5" thickBot="1">
      <c r="B44" s="142"/>
      <c r="C44" s="46"/>
      <c r="D44" s="46" t="s">
        <v>388</v>
      </c>
      <c r="E44" s="46"/>
      <c r="F44" s="47" t="s">
        <v>385</v>
      </c>
      <c r="G44" s="47"/>
      <c r="H44" s="47">
        <v>1</v>
      </c>
      <c r="I44" s="66">
        <v>26000</v>
      </c>
      <c r="J44" s="48" t="s">
        <v>21</v>
      </c>
      <c r="K44" s="48"/>
      <c r="L44" s="48"/>
      <c r="M44" s="48"/>
      <c r="N44" s="66">
        <v>1</v>
      </c>
      <c r="O44" s="66"/>
      <c r="P44" s="66"/>
      <c r="Q44" s="66"/>
      <c r="R44" s="66"/>
      <c r="S44" s="66"/>
      <c r="T44" s="66">
        <f t="shared" ref="T44:T49" si="70">N44*I44</f>
        <v>26000</v>
      </c>
      <c r="U44" s="49">
        <v>267570</v>
      </c>
      <c r="V44" s="49"/>
      <c r="W44" s="49"/>
      <c r="X44" s="50">
        <f t="shared" ref="X44:X49" si="71">N44*U44</f>
        <v>267570</v>
      </c>
      <c r="Y44" s="63">
        <f t="shared" ref="Y44:Y49" si="72">PV($D$54,$AA44,(-0.05*0.9*$I44))</f>
        <v>10335.001949481148</v>
      </c>
      <c r="Z44" s="63">
        <f t="shared" ref="Z44:Z49" si="73">MAX(0,N44*(U44-Y44))</f>
        <v>257234.99805051886</v>
      </c>
      <c r="AA44" s="47">
        <v>12</v>
      </c>
      <c r="AB44" s="47"/>
      <c r="AC44" s="47">
        <f t="shared" ref="AC44:AC49" si="74">AA44</f>
        <v>12</v>
      </c>
      <c r="AD44" s="146">
        <f t="shared" ref="AD44:AD49" si="75">PV($D$54,AA44,-T44)</f>
        <v>229666.7099884699</v>
      </c>
      <c r="AE44" s="149">
        <f t="shared" ref="AE44:AE49" si="76">$D$56*T44/SUM($T$44:$T$49)</f>
        <v>380080.26352183864</v>
      </c>
      <c r="AF44" s="49">
        <v>8428</v>
      </c>
      <c r="AG44" s="49"/>
      <c r="AH44" s="49"/>
      <c r="AI44" s="144">
        <v>43680</v>
      </c>
      <c r="AJ44" s="154">
        <f t="shared" ref="AJ44:AJ49" si="77">IF(ISERROR(AI44/AD44),0,AI44/AD44)</f>
        <v>0.19018864337018149</v>
      </c>
      <c r="AK44" s="155">
        <f t="shared" ref="AK44:AK49" si="78">IF(AD44=0,0,(AI44+AE44)/AD44)</f>
        <v>1.8451096527795123</v>
      </c>
      <c r="AL44" s="70">
        <f>IFERROR(IF($D$3="Original",IF($AI44=0,"-",(INDEX('APP 2885'!$G:$G,MATCH($C$2+$AA44-1,'APP 2885'!$A:$A,0))*$T44)/($AI44+$AE44)),IF($AI44=0,"-",(INDEX('APP 2885'!$G:$G,MATCH($C$2+$AC44-1,'APP 2885'!$A:$A,0))*$T44)/($AI44+$AE44))),"N/A")</f>
        <v>1.1927826660927008</v>
      </c>
      <c r="AM44" s="63">
        <f t="shared" ref="AM44:AM49" si="79">IF(ISERROR((Z44)/AD44),0,(Z44)/AD44)</f>
        <v>1.1200360647106105</v>
      </c>
      <c r="AN44" s="63">
        <f t="shared" ref="AN44:AN49" si="80">IF(AD44=0,0,((Z44)+AE44)/AD44)</f>
        <v>2.774957074119941</v>
      </c>
      <c r="AO44" s="70">
        <f>IFERROR(IF($D$3="Original",IF($Z44=0,"-",(INDEX('APP 2885'!$E:$E,MATCH($C$2+$AA44-1,'APP 2885'!$A:$A,0))*$T44)/(Z44+AE44)),IF($Z44=0,"-",(INDEX('APP 2885'!$E:$E,MATCH($C$2+$AC44-1,'APP 2885'!$A:$A,0))*$T44)/(Z44+AE44))),"N/A")</f>
        <v>0.72099880600649302</v>
      </c>
    </row>
    <row r="45" spans="2:41" ht="13.5" thickBot="1">
      <c r="B45" s="142"/>
      <c r="C45" s="51"/>
      <c r="D45" s="51" t="s">
        <v>394</v>
      </c>
      <c r="E45" s="51"/>
      <c r="F45" s="52" t="s">
        <v>391</v>
      </c>
      <c r="G45" s="52"/>
      <c r="H45" s="52">
        <v>1</v>
      </c>
      <c r="I45" s="67">
        <v>12600</v>
      </c>
      <c r="J45" s="53" t="s">
        <v>21</v>
      </c>
      <c r="K45" s="53"/>
      <c r="L45" s="53"/>
      <c r="M45" s="53"/>
      <c r="N45" s="67">
        <v>1</v>
      </c>
      <c r="O45" s="67"/>
      <c r="P45" s="67"/>
      <c r="Q45" s="67"/>
      <c r="R45" s="67"/>
      <c r="S45" s="67"/>
      <c r="T45" s="67">
        <f t="shared" si="70"/>
        <v>12600</v>
      </c>
      <c r="U45" s="54">
        <v>229000</v>
      </c>
      <c r="V45" s="54"/>
      <c r="W45" s="54"/>
      <c r="X45" s="54">
        <f t="shared" si="71"/>
        <v>229000</v>
      </c>
      <c r="Y45" s="54">
        <f t="shared" si="72"/>
        <v>5861.470280034081</v>
      </c>
      <c r="Z45" s="64">
        <f t="shared" si="73"/>
        <v>223138.52971996591</v>
      </c>
      <c r="AA45" s="52">
        <v>15</v>
      </c>
      <c r="AB45" s="52"/>
      <c r="AC45" s="52">
        <f t="shared" si="74"/>
        <v>15</v>
      </c>
      <c r="AD45" s="147">
        <f t="shared" si="75"/>
        <v>130254.89511186842</v>
      </c>
      <c r="AE45" s="150">
        <f t="shared" si="76"/>
        <v>184192.74309135257</v>
      </c>
      <c r="AF45" s="54">
        <v>8428</v>
      </c>
      <c r="AG45" s="54"/>
      <c r="AH45" s="54"/>
      <c r="AI45" s="145">
        <v>42840</v>
      </c>
      <c r="AJ45" s="156">
        <f t="shared" si="77"/>
        <v>0.32889358947475406</v>
      </c>
      <c r="AK45" s="157">
        <f t="shared" si="78"/>
        <v>1.7429881840246175</v>
      </c>
      <c r="AL45" s="71">
        <f>IFERROR(IF($D$3="Original",IF($AI45=0,"-",(INDEX('APP 2885'!$G:$G,MATCH($C$2+$AA45-1,'APP 2885'!$A:$A,0))*$T45)/($AI45+$AE45)),IF($AI45=0,"-",(INDEX('APP 2885'!$G:$G,MATCH($C$2+$AC45-1,'APP 2885'!$A:$A,0))*$T45)/($AI45+$AE45))),"N/A")</f>
        <v>1.3011673157560188</v>
      </c>
      <c r="AM45" s="64">
        <f t="shared" si="79"/>
        <v>1.713091316286617</v>
      </c>
      <c r="AN45" s="64">
        <f t="shared" si="80"/>
        <v>3.1271859108364808</v>
      </c>
      <c r="AO45" s="71">
        <f>IFERROR(IF($D$3="Original",IF($Z45=0,"-",(INDEX('APP 2885'!$E:$E,MATCH($C$2+$AA45-1,'APP 2885'!$A:$A,0))*$T45)/(Z45+AE45)),IF($Z45=0,"-",(INDEX('APP 2885'!$E:$E,MATCH($C$2+$AC45-1,'APP 2885'!$A:$A,0))*$T45)/(Z45+AE45))),"N/A")</f>
        <v>0.65929715651577947</v>
      </c>
    </row>
    <row r="46" spans="2:41" ht="13.5" thickBot="1">
      <c r="B46" s="142"/>
      <c r="C46" s="46"/>
      <c r="D46" s="46" t="s">
        <v>599</v>
      </c>
      <c r="E46" s="46"/>
      <c r="F46" s="47" t="s">
        <v>598</v>
      </c>
      <c r="G46" s="47"/>
      <c r="H46" s="47">
        <v>1</v>
      </c>
      <c r="I46" s="66">
        <v>497</v>
      </c>
      <c r="J46" s="48" t="s">
        <v>21</v>
      </c>
      <c r="K46" s="48"/>
      <c r="L46" s="48"/>
      <c r="M46" s="48"/>
      <c r="N46" s="66">
        <v>1</v>
      </c>
      <c r="O46" s="66"/>
      <c r="P46" s="66"/>
      <c r="Q46" s="66"/>
      <c r="R46" s="66"/>
      <c r="S46" s="66"/>
      <c r="T46" s="66">
        <f t="shared" si="70"/>
        <v>497</v>
      </c>
      <c r="U46" s="49">
        <v>6593.94</v>
      </c>
      <c r="V46" s="49"/>
      <c r="W46" s="49"/>
      <c r="X46" s="50">
        <f t="shared" si="71"/>
        <v>6593.94</v>
      </c>
      <c r="Y46" s="63">
        <f t="shared" si="72"/>
        <v>341.46586014080492</v>
      </c>
      <c r="Z46" s="63">
        <f t="shared" si="73"/>
        <v>6252.474139859195</v>
      </c>
      <c r="AA46" s="47">
        <v>30</v>
      </c>
      <c r="AB46" s="47"/>
      <c r="AC46" s="47">
        <f t="shared" si="74"/>
        <v>30</v>
      </c>
      <c r="AD46" s="146">
        <f t="shared" si="75"/>
        <v>7588.1302253512185</v>
      </c>
      <c r="AE46" s="149">
        <f t="shared" si="76"/>
        <v>7265.3804219366848</v>
      </c>
      <c r="AF46" s="49">
        <v>8428</v>
      </c>
      <c r="AG46" s="49"/>
      <c r="AH46" s="49"/>
      <c r="AI46" s="144">
        <v>2447</v>
      </c>
      <c r="AJ46" s="154">
        <f t="shared" si="77"/>
        <v>0.32247733332577855</v>
      </c>
      <c r="AK46" s="155">
        <f t="shared" si="78"/>
        <v>1.2799438245654442</v>
      </c>
      <c r="AL46" s="70">
        <f>IFERROR(IF($D$3="Original",IF($AI46=0,"-",(INDEX('APP 2885'!$G:$G,MATCH($C$2+$AA46-1,'APP 2885'!$A:$A,0))*$T46)/($AI46+$AE46)),IF($AI46=0,"-",(INDEX('APP 2885'!$G:$G,MATCH($C$2+$AC46-1,'APP 2885'!$A:$A,0))*$T46)/($AI46+$AE46))),"N/A")</f>
        <v>3.1186531967093223</v>
      </c>
      <c r="AM46" s="63">
        <f t="shared" si="79"/>
        <v>0.82398086935438664</v>
      </c>
      <c r="AN46" s="63">
        <f t="shared" si="80"/>
        <v>1.7814473605940524</v>
      </c>
      <c r="AO46" s="70">
        <f>IFERROR(IF($D$3="Original",IF($Z46=0,"-",(INDEX('APP 2885'!$E:$E,MATCH($C$2+$AA46-1,'APP 2885'!$A:$A,0))*$T46)/(Z46+AE46)),IF($Z46=0,"-",(INDEX('APP 2885'!$E:$E,MATCH($C$2+$AC46-1,'APP 2885'!$A:$A,0))*$T46)/(Z46+AE46))),"N/A")</f>
        <v>2.0370060212563139</v>
      </c>
    </row>
    <row r="47" spans="2:41" ht="13.5" thickBot="1">
      <c r="B47" s="142"/>
      <c r="C47" s="51"/>
      <c r="D47" s="51" t="s">
        <v>603</v>
      </c>
      <c r="E47" s="51"/>
      <c r="F47" s="52" t="s">
        <v>600</v>
      </c>
      <c r="G47" s="52"/>
      <c r="H47" s="52">
        <v>1</v>
      </c>
      <c r="I47" s="67">
        <v>66</v>
      </c>
      <c r="J47" s="53" t="s">
        <v>21</v>
      </c>
      <c r="K47" s="53"/>
      <c r="L47" s="53"/>
      <c r="M47" s="53"/>
      <c r="N47" s="67">
        <v>1</v>
      </c>
      <c r="O47" s="67"/>
      <c r="P47" s="67"/>
      <c r="Q47" s="67"/>
      <c r="R47" s="67"/>
      <c r="S47" s="67"/>
      <c r="T47" s="67">
        <f t="shared" si="70"/>
        <v>66</v>
      </c>
      <c r="U47" s="54">
        <v>1637.5</v>
      </c>
      <c r="V47" s="54"/>
      <c r="W47" s="54"/>
      <c r="X47" s="54">
        <f t="shared" si="71"/>
        <v>1637.5</v>
      </c>
      <c r="Y47" s="54">
        <f t="shared" si="72"/>
        <v>45.345566940227606</v>
      </c>
      <c r="Z47" s="64">
        <f t="shared" si="73"/>
        <v>1592.1544330597724</v>
      </c>
      <c r="AA47" s="52">
        <v>30</v>
      </c>
      <c r="AB47" s="52"/>
      <c r="AC47" s="52">
        <f t="shared" si="74"/>
        <v>30</v>
      </c>
      <c r="AD47" s="147">
        <f t="shared" si="75"/>
        <v>1007.6792653383912</v>
      </c>
      <c r="AE47" s="150">
        <f t="shared" si="76"/>
        <v>964.81913047851344</v>
      </c>
      <c r="AF47" s="54">
        <v>8428</v>
      </c>
      <c r="AG47" s="54"/>
      <c r="AH47" s="54"/>
      <c r="AI47" s="145">
        <v>527</v>
      </c>
      <c r="AJ47" s="156">
        <f t="shared" si="77"/>
        <v>0.52298386810909203</v>
      </c>
      <c r="AK47" s="157">
        <f t="shared" si="78"/>
        <v>1.4804503593487577</v>
      </c>
      <c r="AL47" s="71">
        <f>IFERROR(IF($D$3="Original",IF($AI47=0,"-",(INDEX('APP 2885'!$G:$G,MATCH($C$2+$AA47-1,'APP 2885'!$A:$A,0))*$T47)/($AI47+$AE47)),IF($AI47=0,"-",(INDEX('APP 2885'!$G:$G,MATCH($C$2+$AC47-1,'APP 2885'!$A:$A,0))*$T47)/($AI47+$AE47))),"N/A")</f>
        <v>2.6962747348349501</v>
      </c>
      <c r="AM47" s="64">
        <f t="shared" si="79"/>
        <v>1.5800210323124066</v>
      </c>
      <c r="AN47" s="64">
        <f t="shared" si="80"/>
        <v>2.537487523552072</v>
      </c>
      <c r="AO47" s="71">
        <f>IFERROR(IF($D$3="Original",IF($Z47=0,"-",(INDEX('APP 2885'!$E:$E,MATCH($C$2+$AA47-1,'APP 2885'!$A:$A,0))*$T47)/(Z47+AE47)),IF($Z47=0,"-",(INDEX('APP 2885'!$E:$E,MATCH($C$2+$AC47-1,'APP 2885'!$A:$A,0))*$T47)/(Z47+AE47))),"N/A")</f>
        <v>1.4300834847067516</v>
      </c>
    </row>
    <row r="48" spans="2:41" ht="13.5" thickBot="1">
      <c r="B48" s="142"/>
      <c r="C48" s="46"/>
      <c r="D48" s="46" t="s">
        <v>603</v>
      </c>
      <c r="E48" s="46"/>
      <c r="F48" s="47" t="s">
        <v>607</v>
      </c>
      <c r="G48" s="47"/>
      <c r="H48" s="47">
        <v>1</v>
      </c>
      <c r="I48" s="66">
        <v>350</v>
      </c>
      <c r="J48" s="48" t="s">
        <v>21</v>
      </c>
      <c r="K48" s="48"/>
      <c r="L48" s="48"/>
      <c r="M48" s="48"/>
      <c r="N48" s="66">
        <v>1</v>
      </c>
      <c r="O48" s="66"/>
      <c r="P48" s="66"/>
      <c r="Q48" s="66"/>
      <c r="R48" s="66"/>
      <c r="S48" s="66"/>
      <c r="T48" s="66">
        <f t="shared" si="70"/>
        <v>350</v>
      </c>
      <c r="U48" s="49">
        <v>1637.5</v>
      </c>
      <c r="V48" s="49"/>
      <c r="W48" s="49"/>
      <c r="X48" s="50">
        <f t="shared" si="71"/>
        <v>1637.5</v>
      </c>
      <c r="Y48" s="63">
        <f t="shared" si="72"/>
        <v>240.46891559211613</v>
      </c>
      <c r="Z48" s="63">
        <f t="shared" si="73"/>
        <v>1397.0310844078838</v>
      </c>
      <c r="AA48" s="47">
        <v>30</v>
      </c>
      <c r="AB48" s="47"/>
      <c r="AC48" s="47">
        <f t="shared" si="74"/>
        <v>30</v>
      </c>
      <c r="AD48" s="146">
        <f t="shared" si="75"/>
        <v>5343.753679824802</v>
      </c>
      <c r="AE48" s="149">
        <f t="shared" si="76"/>
        <v>5116.4650858709047</v>
      </c>
      <c r="AF48" s="49">
        <v>8428</v>
      </c>
      <c r="AG48" s="49"/>
      <c r="AH48" s="49"/>
      <c r="AI48" s="144">
        <v>2300</v>
      </c>
      <c r="AJ48" s="154">
        <f t="shared" si="77"/>
        <v>0.43040906033591853</v>
      </c>
      <c r="AK48" s="155">
        <f t="shared" si="78"/>
        <v>1.3878755515755841</v>
      </c>
      <c r="AL48" s="70">
        <f>IFERROR(IF($D$3="Original",IF($AI48=0,"-",(INDEX('APP 2885'!$G:$G,MATCH($C$2+$AA48-1,'APP 2885'!$A:$A,0))*$T48)/($AI48+$AE48)),IF($AI48=0,"-",(INDEX('APP 2885'!$G:$G,MATCH($C$2+$AC48-1,'APP 2885'!$A:$A,0))*$T48)/($AI48+$AE48))),"N/A")</f>
        <v>2.8761230757021434</v>
      </c>
      <c r="AM48" s="63">
        <f t="shared" si="79"/>
        <v>0.26143253752176809</v>
      </c>
      <c r="AN48" s="63">
        <f t="shared" si="80"/>
        <v>1.2188990287614336</v>
      </c>
      <c r="AO48" s="70">
        <f>IFERROR(IF($D$3="Original",IF($Z48=0,"-",(INDEX('APP 2885'!$E:$E,MATCH($C$2+$AA48-1,'APP 2885'!$A:$A,0))*$T48)/(Z48+AE48)),IF($Z48=0,"-",(INDEX('APP 2885'!$E:$E,MATCH($C$2+$AC48-1,'APP 2885'!$A:$A,0))*$T48)/(Z48+AE48))),"N/A")</f>
        <v>2.97712846958999</v>
      </c>
    </row>
    <row r="49" spans="2:41" ht="13.5" thickBot="1">
      <c r="B49" s="142"/>
      <c r="C49" s="51"/>
      <c r="D49" s="51" t="s">
        <v>626</v>
      </c>
      <c r="E49" s="51"/>
      <c r="F49" s="52" t="s">
        <v>624</v>
      </c>
      <c r="G49" s="52"/>
      <c r="H49" s="52">
        <v>1</v>
      </c>
      <c r="I49" s="67">
        <v>256</v>
      </c>
      <c r="J49" s="53" t="s">
        <v>21</v>
      </c>
      <c r="K49" s="53"/>
      <c r="L49" s="53"/>
      <c r="M49" s="53"/>
      <c r="N49" s="67">
        <v>1</v>
      </c>
      <c r="O49" s="67"/>
      <c r="P49" s="67"/>
      <c r="Q49" s="67"/>
      <c r="R49" s="67"/>
      <c r="S49" s="67"/>
      <c r="T49" s="67">
        <f t="shared" si="70"/>
        <v>256</v>
      </c>
      <c r="U49" s="54">
        <v>6629</v>
      </c>
      <c r="V49" s="54"/>
      <c r="W49" s="54"/>
      <c r="X49" s="54">
        <f t="shared" si="71"/>
        <v>6629</v>
      </c>
      <c r="Y49" s="54">
        <f t="shared" si="72"/>
        <v>175.88583540451921</v>
      </c>
      <c r="Z49" s="64">
        <f t="shared" si="73"/>
        <v>6453.1141645954804</v>
      </c>
      <c r="AA49" s="52">
        <v>30</v>
      </c>
      <c r="AB49" s="52"/>
      <c r="AC49" s="52">
        <f t="shared" si="74"/>
        <v>30</v>
      </c>
      <c r="AD49" s="147">
        <f t="shared" si="75"/>
        <v>3908.5741201004266</v>
      </c>
      <c r="AE49" s="150">
        <f t="shared" si="76"/>
        <v>3742.3287485227188</v>
      </c>
      <c r="AF49" s="54">
        <v>8428</v>
      </c>
      <c r="AG49" s="54"/>
      <c r="AH49" s="54"/>
      <c r="AI49" s="145">
        <v>2169</v>
      </c>
      <c r="AJ49" s="156">
        <f t="shared" si="77"/>
        <v>0.55493382838657024</v>
      </c>
      <c r="AK49" s="157">
        <f t="shared" si="78"/>
        <v>1.5124003196262359</v>
      </c>
      <c r="AL49" s="71">
        <f>IFERROR(IF($D$3="Original",IF($AI49=0,"-",(INDEX('APP 2885'!$G:$G,MATCH($C$2+$AA49-1,'APP 2885'!$A:$A,0))*$T49)/($AI49+$AE49)),IF($AI49=0,"-",(INDEX('APP 2885'!$G:$G,MATCH($C$2+$AC49-1,'APP 2885'!$A:$A,0))*$T49)/($AI49+$AE49))),"N/A")</f>
        <v>2.6393150333873634</v>
      </c>
      <c r="AM49" s="64">
        <f t="shared" si="79"/>
        <v>1.6510149139578487</v>
      </c>
      <c r="AN49" s="64">
        <f t="shared" si="80"/>
        <v>2.608481405197514</v>
      </c>
      <c r="AO49" s="71">
        <f>IFERROR(IF($D$3="Original",IF($Z49=0,"-",(INDEX('APP 2885'!$E:$E,MATCH($C$2+$AA49-1,'APP 2885'!$A:$A,0))*$T49)/(Z49+AE49)),IF($Z49=0,"-",(INDEX('APP 2885'!$E:$E,MATCH($C$2+$AC49-1,'APP 2885'!$A:$A,0))*$T49)/(Z49+AE49))),"N/A")</f>
        <v>1.3911615366897654</v>
      </c>
    </row>
    <row r="50" spans="2:41" ht="15.75" thickBot="1">
      <c r="C50" s="56" t="s">
        <v>0</v>
      </c>
      <c r="D50" s="57"/>
      <c r="E50" s="57"/>
      <c r="F50" s="57"/>
      <c r="G50" s="57"/>
      <c r="H50" s="69">
        <f>SUM(H5:H49)</f>
        <v>153</v>
      </c>
      <c r="I50" s="58"/>
      <c r="J50" s="57"/>
      <c r="K50" s="57"/>
      <c r="L50" s="57"/>
      <c r="M50" s="57"/>
      <c r="N50" s="59"/>
      <c r="O50" s="141"/>
      <c r="P50" s="141"/>
      <c r="Q50" s="141"/>
      <c r="R50" s="141"/>
      <c r="S50" s="141"/>
      <c r="T50" s="69">
        <f>SUM(T5:T49)</f>
        <v>373589.79999999993</v>
      </c>
      <c r="U50" s="60"/>
      <c r="V50" s="60"/>
      <c r="W50" s="60"/>
      <c r="X50" s="60">
        <f>SUM(X5:X49)</f>
        <v>2725041.1751319421</v>
      </c>
      <c r="Y50" s="60"/>
      <c r="Z50" s="201">
        <f>SUM(Z5:Z49)</f>
        <v>2542281.8962524207</v>
      </c>
      <c r="AA50" s="200">
        <f>ROUND(SUMPRODUCT(T5:T49,AA5:AA49)/SUM(T5:T49),0)</f>
        <v>20</v>
      </c>
      <c r="AB50" s="59"/>
      <c r="AC50" s="59">
        <f>ROUND(SUMPRODUCT(T5:T49,AC5:AC49)/SUM(T5:T49),0)</f>
        <v>21</v>
      </c>
      <c r="AD50" s="148">
        <f>SUM(AD5:AD49)</f>
        <v>4089848.7501057503</v>
      </c>
      <c r="AE50" s="151">
        <f>SUM(AE5:AE49)</f>
        <v>1453405.0000000002</v>
      </c>
      <c r="AF50" s="57"/>
      <c r="AG50" s="57"/>
      <c r="AH50" s="57"/>
      <c r="AI50" s="153">
        <f>SUM(AI5:AI42,AI44:AI49)</f>
        <v>1894045.9116785049</v>
      </c>
      <c r="AJ50" s="160">
        <f>AI50/AD50</f>
        <v>0.46310903590983188</v>
      </c>
      <c r="AK50" s="161">
        <f>(AI50+AE50)/AD50</f>
        <v>0.81847792331976843</v>
      </c>
      <c r="AL50" s="61">
        <f>IFERROR(IF($D$3="Original",IF($AI50=0,"-",(INDEX('APP 2885'!$G:$G,MATCH($C$2+$AA50-1,'APP 2885'!$A:$A,0))*$T50)/($AI50+$AE50)),IF($AI50=0,"-",(INDEX('APP 2885'!$G:$G,MATCH($C$2+$AC50-1,'APP 2885'!$A:$A,0))*$T50)/($AI50+$AE50))),"N/A")</f>
        <v>4.9091220727150686</v>
      </c>
      <c r="AM50" s="62">
        <f>(Z50)/AD50</f>
        <v>0.62160780302369023</v>
      </c>
      <c r="AN50" s="62">
        <f>(Z50+AE50)/AD50</f>
        <v>0.97697669043362667</v>
      </c>
      <c r="AO50" s="61">
        <f>IFERROR(IF($D$3="Original",IF($Z50=0,"-",(INDEX('APP 2885'!$E:$E,MATCH($C$2+$AA50-1,'APP 2885'!$A:$A,0))*$T50)/(Z50+AE50)),IF($Z50=0,"-",(INDEX('APP 2885'!$E:$E,MATCH($C$2+$AC50-1,'APP 2885'!$A:$A,0))*$T50)/(Z50+AE50))),"N/A")</f>
        <v>3.7388144640898533</v>
      </c>
    </row>
    <row r="51" spans="2:41" ht="13.5" thickBot="1">
      <c r="T51" s="19"/>
      <c r="U51" s="2"/>
      <c r="V51" s="2"/>
      <c r="W51" s="2"/>
      <c r="X51" s="2"/>
      <c r="Y51" s="2"/>
      <c r="Z51" s="2"/>
      <c r="AA51" s="19"/>
      <c r="AB51" s="19"/>
      <c r="AC51" s="19"/>
      <c r="AD51" s="20"/>
      <c r="AI51" s="43"/>
      <c r="AJ51" s="21"/>
      <c r="AL51" s="22"/>
      <c r="AM51" s="23"/>
      <c r="AN51" s="23"/>
    </row>
    <row r="52" spans="2:41" ht="15.75" thickBot="1">
      <c r="C52" s="140" t="s">
        <v>3</v>
      </c>
      <c r="D52" s="73">
        <f>'APP 2885'!E59</f>
        <v>5.0599999999999999E-2</v>
      </c>
      <c r="F52" s="24"/>
      <c r="G52" s="24"/>
      <c r="I52" s="25"/>
      <c r="J52" s="26"/>
      <c r="K52" s="26"/>
      <c r="L52" s="26"/>
      <c r="M52" s="26"/>
      <c r="N52" s="25"/>
      <c r="O52" s="25"/>
      <c r="P52" s="25"/>
      <c r="Q52" s="25"/>
      <c r="R52" s="25"/>
      <c r="S52" s="25"/>
      <c r="T52" s="19"/>
      <c r="U52" s="19"/>
      <c r="V52" s="19"/>
      <c r="W52" s="19"/>
      <c r="X52" s="19"/>
      <c r="Y52" s="25"/>
      <c r="Z52" s="27"/>
      <c r="AA52" s="19"/>
      <c r="AB52" s="19"/>
      <c r="AC52" s="19"/>
      <c r="AD52" s="28"/>
      <c r="AE52" s="28"/>
      <c r="AI52" s="44"/>
      <c r="AJ52" s="29"/>
      <c r="AK52" s="30"/>
      <c r="AL52" s="31"/>
      <c r="AM52" s="25"/>
      <c r="AN52" s="25"/>
      <c r="AO52" s="25"/>
    </row>
    <row r="53" spans="2:41" ht="15.75" thickBot="1">
      <c r="C53" s="140" t="s">
        <v>4</v>
      </c>
      <c r="D53" s="73">
        <f>'APP 2885'!E61</f>
        <v>0.02</v>
      </c>
      <c r="F53" s="24"/>
      <c r="G53" s="24"/>
      <c r="H53" s="32"/>
      <c r="I53" s="1"/>
      <c r="J53" s="25"/>
      <c r="K53" s="25"/>
      <c r="L53" s="25"/>
      <c r="M53" s="25"/>
      <c r="N53" s="13"/>
      <c r="O53" s="13"/>
      <c r="P53" s="13"/>
      <c r="Q53" s="13"/>
      <c r="R53" s="13"/>
      <c r="S53" s="13"/>
      <c r="T53" s="13"/>
      <c r="AD53" s="33"/>
      <c r="AI53" s="44"/>
    </row>
    <row r="54" spans="2:41" ht="15.75" thickBot="1">
      <c r="C54" s="140" t="s">
        <v>5</v>
      </c>
      <c r="D54" s="73">
        <f>'APP 2885'!E58</f>
        <v>5.0599999999999999E-2</v>
      </c>
      <c r="F54" s="24"/>
      <c r="G54" s="24"/>
      <c r="I54" s="1"/>
      <c r="J54" s="25"/>
      <c r="K54" s="25"/>
      <c r="L54" s="25"/>
      <c r="M54" s="25"/>
      <c r="N54" s="13"/>
      <c r="O54" s="13"/>
      <c r="P54" s="13"/>
      <c r="Q54" s="13"/>
      <c r="R54" s="13"/>
      <c r="S54" s="13"/>
      <c r="T54" s="13"/>
    </row>
    <row r="55" spans="2:41" ht="15.75" thickBot="1">
      <c r="C55" s="140" t="s">
        <v>831</v>
      </c>
      <c r="D55" s="74">
        <v>1453405</v>
      </c>
      <c r="F55" s="24"/>
      <c r="G55" s="24"/>
      <c r="T55" s="13"/>
    </row>
    <row r="56" spans="2:41" ht="15.75" thickBot="1">
      <c r="C56" s="140" t="s">
        <v>832</v>
      </c>
      <c r="D56" s="78">
        <f>D55*0.4</f>
        <v>581362</v>
      </c>
      <c r="F56" s="24"/>
      <c r="G56" s="24"/>
      <c r="I56" s="16"/>
      <c r="N56" s="14"/>
      <c r="O56" s="14"/>
      <c r="P56" s="14"/>
      <c r="Q56" s="14"/>
      <c r="R56" s="14"/>
      <c r="S56" s="14"/>
      <c r="T56" s="34"/>
      <c r="U56" s="16"/>
      <c r="V56" s="16"/>
      <c r="W56" s="16"/>
      <c r="X56" s="16"/>
      <c r="Y56" s="16"/>
      <c r="Z56" s="16"/>
      <c r="AA56" s="16"/>
      <c r="AB56" s="16"/>
      <c r="AC56" s="16"/>
      <c r="AD56" s="16"/>
      <c r="AE56" s="16"/>
      <c r="AF56" s="16"/>
      <c r="AG56" s="16"/>
      <c r="AH56" s="16"/>
      <c r="AI56" s="35"/>
      <c r="AJ56" s="16"/>
      <c r="AK56" s="16"/>
      <c r="AL56" s="16"/>
      <c r="AM56" s="16"/>
      <c r="AN56" s="16"/>
      <c r="AO56" s="16"/>
    </row>
    <row r="57" spans="2:41" ht="15.75" thickBot="1">
      <c r="C57" s="140" t="s">
        <v>833</v>
      </c>
      <c r="D57" s="78">
        <f>D55*0.6</f>
        <v>872043</v>
      </c>
      <c r="F57" s="24"/>
      <c r="G57" s="24"/>
      <c r="I57" s="16"/>
      <c r="J57" s="36"/>
      <c r="K57" s="36"/>
      <c r="L57" s="36"/>
      <c r="M57" s="36"/>
      <c r="N57" s="14"/>
      <c r="O57" s="14"/>
      <c r="P57" s="14"/>
      <c r="Q57" s="14"/>
      <c r="R57" s="14"/>
      <c r="S57" s="14"/>
      <c r="T57" s="34"/>
      <c r="U57" s="16"/>
      <c r="V57" s="16"/>
      <c r="W57" s="16"/>
      <c r="X57" s="16"/>
      <c r="Y57" s="16"/>
      <c r="Z57" s="16"/>
      <c r="AA57" s="16"/>
      <c r="AB57" s="16"/>
      <c r="AC57" s="16"/>
      <c r="AD57" s="16"/>
      <c r="AE57" s="16"/>
      <c r="AF57" s="16"/>
      <c r="AG57" s="16"/>
      <c r="AH57" s="16"/>
      <c r="AI57" s="35"/>
      <c r="AJ57" s="16"/>
      <c r="AK57" s="16"/>
      <c r="AL57" s="16"/>
      <c r="AM57" s="16"/>
      <c r="AN57" s="16"/>
      <c r="AO57" s="16"/>
    </row>
    <row r="58" spans="2:41" ht="16.899999999999999" customHeight="1">
      <c r="D58" s="16"/>
      <c r="F58" s="24"/>
      <c r="G58" s="24"/>
      <c r="I58" s="16"/>
      <c r="N58" s="14"/>
      <c r="O58" s="14"/>
      <c r="P58" s="14"/>
      <c r="Q58" s="14"/>
      <c r="R58" s="14"/>
      <c r="S58" s="14"/>
      <c r="T58" s="34"/>
      <c r="U58" s="16"/>
      <c r="V58" s="16"/>
      <c r="W58" s="16"/>
      <c r="X58" s="16"/>
      <c r="Y58" s="16"/>
      <c r="Z58" s="16"/>
      <c r="AA58" s="16"/>
      <c r="AB58" s="16"/>
      <c r="AC58" s="16"/>
      <c r="AD58" s="16"/>
      <c r="AE58" s="16"/>
      <c r="AF58" s="16"/>
      <c r="AG58" s="16"/>
      <c r="AH58" s="16"/>
      <c r="AI58" s="35"/>
      <c r="AJ58" s="16"/>
      <c r="AK58" s="16"/>
      <c r="AL58" s="16"/>
      <c r="AM58" s="16"/>
      <c r="AN58" s="16"/>
      <c r="AO58" s="16"/>
    </row>
    <row r="59" spans="2:41" ht="14.45" customHeight="1">
      <c r="C59" s="16"/>
      <c r="D59" s="16"/>
      <c r="F59" s="24"/>
      <c r="G59" s="24"/>
      <c r="I59" s="16"/>
      <c r="J59" s="37"/>
      <c r="K59" s="37"/>
      <c r="L59" s="37"/>
      <c r="M59" s="37"/>
      <c r="N59" s="14"/>
      <c r="O59" s="14"/>
      <c r="P59" s="14"/>
      <c r="Q59" s="14"/>
      <c r="R59" s="14"/>
      <c r="S59" s="14"/>
      <c r="T59" s="34"/>
      <c r="U59" s="16"/>
      <c r="V59" s="16"/>
      <c r="W59" s="16"/>
      <c r="X59" s="16"/>
      <c r="Y59" s="16"/>
      <c r="Z59" s="16"/>
      <c r="AA59" s="16"/>
      <c r="AB59" s="16"/>
      <c r="AC59" s="16"/>
      <c r="AD59" s="16"/>
      <c r="AE59" s="16"/>
      <c r="AF59" s="16"/>
      <c r="AG59" s="16"/>
      <c r="AH59" s="16"/>
      <c r="AI59" s="35"/>
      <c r="AJ59" s="16"/>
      <c r="AK59" s="16"/>
      <c r="AL59" s="16"/>
      <c r="AM59" s="16"/>
      <c r="AN59" s="16"/>
      <c r="AO59" s="16"/>
    </row>
    <row r="60" spans="2:41" ht="16.899999999999999" customHeight="1">
      <c r="C60" s="16"/>
      <c r="D60" s="38">
        <v>766935</v>
      </c>
      <c r="F60" s="24"/>
      <c r="G60" s="24"/>
      <c r="I60" s="16"/>
      <c r="N60" s="14"/>
      <c r="O60" s="14"/>
      <c r="P60" s="14"/>
      <c r="Q60" s="14"/>
      <c r="R60" s="14"/>
      <c r="S60" s="14"/>
      <c r="T60" s="34"/>
      <c r="U60" s="16"/>
      <c r="V60" s="16"/>
      <c r="W60" s="16"/>
      <c r="X60" s="16"/>
      <c r="Y60" s="16"/>
      <c r="Z60" s="16"/>
      <c r="AA60" s="16"/>
      <c r="AB60" s="16"/>
      <c r="AC60" s="16"/>
      <c r="AD60" s="16"/>
      <c r="AE60" s="16"/>
      <c r="AF60" s="16"/>
      <c r="AG60" s="16"/>
      <c r="AH60" s="16"/>
      <c r="AI60" s="35"/>
      <c r="AJ60" s="16"/>
      <c r="AK60" s="16"/>
      <c r="AL60" s="16"/>
      <c r="AM60" s="16"/>
      <c r="AN60" s="16"/>
      <c r="AO60" s="16"/>
    </row>
    <row r="61" spans="2:41" ht="14.45" customHeight="1">
      <c r="D61" s="16"/>
      <c r="F61" s="24"/>
      <c r="G61" s="24"/>
      <c r="I61" s="16"/>
      <c r="J61" s="37"/>
      <c r="K61" s="37"/>
      <c r="L61" s="37"/>
      <c r="M61" s="37"/>
      <c r="N61" s="14"/>
      <c r="O61" s="14"/>
      <c r="P61" s="14"/>
      <c r="Q61" s="14"/>
      <c r="R61" s="14"/>
      <c r="S61" s="14"/>
      <c r="T61" s="34"/>
      <c r="U61" s="16"/>
      <c r="V61" s="16"/>
      <c r="W61" s="16"/>
      <c r="X61" s="16"/>
      <c r="Y61" s="16"/>
      <c r="Z61" s="16"/>
      <c r="AA61" s="16"/>
      <c r="AB61" s="16"/>
      <c r="AC61" s="16"/>
      <c r="AD61" s="16"/>
      <c r="AE61" s="16"/>
      <c r="AF61" s="16"/>
      <c r="AG61" s="16"/>
      <c r="AH61" s="16"/>
      <c r="AI61" s="35"/>
      <c r="AJ61" s="16"/>
      <c r="AK61" s="16"/>
      <c r="AL61" s="16"/>
      <c r="AM61" s="16"/>
      <c r="AN61" s="16"/>
      <c r="AO61" s="16"/>
    </row>
    <row r="62" spans="2:41">
      <c r="D62" s="16"/>
      <c r="I62" s="16"/>
      <c r="N62" s="14"/>
      <c r="O62" s="14"/>
      <c r="P62" s="14"/>
      <c r="Q62" s="14"/>
      <c r="R62" s="14"/>
      <c r="S62" s="14"/>
      <c r="T62" s="34"/>
      <c r="U62" s="16"/>
      <c r="V62" s="16"/>
      <c r="W62" s="16"/>
      <c r="X62" s="16"/>
      <c r="Y62" s="16"/>
      <c r="Z62" s="16"/>
      <c r="AA62" s="16"/>
      <c r="AB62" s="16"/>
      <c r="AC62" s="16"/>
      <c r="AD62" s="16"/>
      <c r="AE62" s="16"/>
      <c r="AF62" s="16"/>
      <c r="AG62" s="16"/>
      <c r="AH62" s="16"/>
      <c r="AI62" s="35"/>
      <c r="AJ62" s="16"/>
      <c r="AK62" s="16"/>
      <c r="AL62" s="16"/>
      <c r="AM62" s="16"/>
      <c r="AN62" s="16"/>
      <c r="AO62" s="16"/>
    </row>
    <row r="63" spans="2:41" ht="18" customHeight="1">
      <c r="D63" s="42"/>
      <c r="E63" s="36"/>
      <c r="I63" s="16"/>
      <c r="N63" s="14"/>
      <c r="O63" s="14"/>
      <c r="P63" s="14"/>
      <c r="Q63" s="14"/>
      <c r="R63" s="14"/>
      <c r="S63" s="14"/>
      <c r="T63" s="34"/>
      <c r="U63" s="16"/>
      <c r="V63" s="16"/>
      <c r="W63" s="16"/>
      <c r="X63" s="16"/>
      <c r="Y63" s="16"/>
      <c r="Z63" s="16"/>
      <c r="AA63" s="16"/>
      <c r="AB63" s="16"/>
      <c r="AC63" s="16"/>
      <c r="AD63" s="16"/>
      <c r="AE63" s="16"/>
      <c r="AF63" s="16"/>
      <c r="AG63" s="16"/>
      <c r="AH63" s="16"/>
      <c r="AI63" s="35"/>
      <c r="AJ63" s="39"/>
      <c r="AK63" s="16"/>
      <c r="AL63" s="16"/>
      <c r="AM63" s="16"/>
      <c r="AN63" s="16"/>
      <c r="AO63" s="16"/>
    </row>
    <row r="64" spans="2:41">
      <c r="E64" s="40"/>
      <c r="T64" s="41"/>
    </row>
    <row r="65" spans="5:20">
      <c r="E65" s="37"/>
      <c r="T65" s="41"/>
    </row>
    <row r="66" spans="5:20">
      <c r="T66" s="41"/>
    </row>
    <row r="67" spans="5:20">
      <c r="T67" s="41"/>
    </row>
    <row r="68" spans="5:20">
      <c r="T68" s="41"/>
    </row>
    <row r="69" spans="5:20">
      <c r="T69" s="41"/>
    </row>
  </sheetData>
  <autoFilter ref="B4:AO4" xr:uid="{00000000-0001-0000-0000-000000000000}"/>
  <mergeCells count="2">
    <mergeCell ref="D1:AO1"/>
    <mergeCell ref="D2:AO2"/>
  </mergeCells>
  <dataValidations disablePrompts="1" count="1">
    <dataValidation type="list" allowBlank="1" showInputMessage="1" showErrorMessage="1" sqref="D3" xr:uid="{7C1426CE-A88F-447D-8C97-08648816B5AB}">
      <formula1>$AP$2:$AP$3</formula1>
    </dataValidation>
  </dataValidations>
  <printOptions horizontalCentered="1" verticalCentered="1"/>
  <pageMargins left="0.25" right="0.02" top="0.73" bottom="0.72" header="0.5" footer="0.5"/>
  <pageSetup paperSize="5" scale="21" orientation="landscape" horizontalDpi="1200" verticalDpi="1200" r:id="rId1"/>
  <headerFooter alignWithMargins="0">
    <oddHeader>&amp;C&amp;c</oddHeader>
    <oddFooter>&amp;C&amp;14Appendix A&amp;R&amp;14Page 3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D318-C448-430D-80E7-8AB6D331C614}">
  <sheetPr>
    <tabColor theme="4"/>
  </sheetPr>
  <dimension ref="B2:K47"/>
  <sheetViews>
    <sheetView showGridLines="0" topLeftCell="A12" zoomScale="90" zoomScaleNormal="90" workbookViewId="0">
      <selection activeCell="I35" sqref="I35"/>
    </sheetView>
  </sheetViews>
  <sheetFormatPr defaultRowHeight="12.75"/>
  <cols>
    <col min="2" max="2" width="8.83203125" hidden="1" customWidth="1"/>
    <col min="3" max="5" width="41.5" customWidth="1"/>
    <col min="6" max="10" width="24" customWidth="1"/>
    <col min="11" max="11" width="23.33203125" customWidth="1"/>
    <col min="12" max="12" width="73.5" bestFit="1" customWidth="1"/>
    <col min="13" max="13" width="63" bestFit="1" customWidth="1"/>
    <col min="14" max="14" width="55.83203125" bestFit="1" customWidth="1"/>
    <col min="15" max="15" width="48.1640625" bestFit="1" customWidth="1"/>
    <col min="16" max="16" width="21.33203125" bestFit="1" customWidth="1"/>
    <col min="17" max="19" width="15.1640625" bestFit="1" customWidth="1"/>
    <col min="20" max="20" width="20.33203125" bestFit="1" customWidth="1"/>
    <col min="21" max="21" width="5.83203125" bestFit="1" customWidth="1"/>
    <col min="22" max="22" width="36" bestFit="1" customWidth="1"/>
    <col min="23" max="23" width="26.83203125" bestFit="1" customWidth="1"/>
    <col min="24" max="24" width="19.5" bestFit="1" customWidth="1"/>
    <col min="25" max="25" width="22.83203125" bestFit="1" customWidth="1"/>
    <col min="26" max="26" width="41.83203125" bestFit="1" customWidth="1"/>
    <col min="27" max="27" width="12.6640625" bestFit="1" customWidth="1"/>
    <col min="28" max="28" width="7.6640625" bestFit="1" customWidth="1"/>
    <col min="29" max="29" width="12" bestFit="1" customWidth="1"/>
    <col min="30" max="49" width="46.1640625" bestFit="1" customWidth="1"/>
    <col min="50" max="50" width="12" bestFit="1" customWidth="1"/>
  </cols>
  <sheetData>
    <row r="2" spans="2:11" ht="13.5">
      <c r="C2" s="202" t="s">
        <v>842</v>
      </c>
    </row>
    <row r="4" spans="2:11" ht="30.75" thickBot="1">
      <c r="B4" s="169" t="s">
        <v>665</v>
      </c>
      <c r="C4" s="169" t="s">
        <v>818</v>
      </c>
      <c r="D4" s="169" t="s">
        <v>813</v>
      </c>
      <c r="E4" s="169" t="s">
        <v>812</v>
      </c>
      <c r="F4" s="170" t="s">
        <v>834</v>
      </c>
      <c r="G4" s="171" t="s">
        <v>835</v>
      </c>
      <c r="H4" s="170" t="s">
        <v>836</v>
      </c>
      <c r="I4" s="170" t="s">
        <v>837</v>
      </c>
      <c r="J4" s="170" t="s">
        <v>838</v>
      </c>
      <c r="K4" s="170" t="s">
        <v>839</v>
      </c>
    </row>
    <row r="5" spans="2:11" ht="15.75" thickTop="1">
      <c r="B5" s="142" t="str">
        <f>C5&amp;"_"&amp;E5</f>
        <v>Boiler_TE 94% (ENERGY STAR 1.0)</v>
      </c>
      <c r="C5" s="172" t="s">
        <v>25</v>
      </c>
      <c r="D5" s="172" t="s">
        <v>68</v>
      </c>
      <c r="E5" s="172" t="s">
        <v>690</v>
      </c>
      <c r="F5" s="173">
        <f>INDEX('2024'!AG:AG,MATCH($B5,'2024'!$B:$B,0))</f>
        <v>10</v>
      </c>
      <c r="G5" s="173">
        <f>INDEX('2024'!AI:AI,MATCH($B5,'2024'!$B:$B,0))</f>
        <v>10.245457087567534</v>
      </c>
      <c r="H5" s="174">
        <v>2.3554656909592078</v>
      </c>
      <c r="I5" s="174">
        <f>INDEX('2024'!AM:AM,MATCH($B5,'2024'!$B:$B,0))</f>
        <v>5.3026824411544666</v>
      </c>
      <c r="J5" s="174" t="s">
        <v>822</v>
      </c>
      <c r="K5" s="174">
        <f>INDEX('2024'!AP:AP,MATCH($B5,'2024'!$B:$B,0))</f>
        <v>5.0021378797492417</v>
      </c>
    </row>
    <row r="6" spans="2:11" ht="15">
      <c r="B6" s="142" t="str">
        <f t="shared" ref="B6:B25" si="0">C6&amp;"_"&amp;E6</f>
        <v>Boiler Steam Trap_Minimum 300 kBtu input and steam pressures at 7psig or greater</v>
      </c>
      <c r="C6" s="172" t="s">
        <v>84</v>
      </c>
      <c r="D6" s="172" t="s">
        <v>95</v>
      </c>
      <c r="E6" s="172" t="s">
        <v>96</v>
      </c>
      <c r="F6" s="173">
        <f>INDEX('2024'!AG:AG,MATCH($B6,'2024'!$B:$B,0))</f>
        <v>125</v>
      </c>
      <c r="G6" s="173">
        <f>INDEX('2024'!AI:AI,MATCH(B6,'2024'!B:B,0))</f>
        <v>125</v>
      </c>
      <c r="H6" s="174" t="s">
        <v>822</v>
      </c>
      <c r="I6" s="174">
        <f>INDEX('2024'!AM:AM,MATCH(B6,'2024'!B:B,0))</f>
        <v>2.0865842369772278</v>
      </c>
      <c r="J6" s="174" t="s">
        <v>822</v>
      </c>
      <c r="K6" s="174">
        <f>INDEX('2024'!AP:AP,MATCH($B6,'2024'!$B:$B,0))</f>
        <v>1.4779024944947947</v>
      </c>
    </row>
    <row r="7" spans="2:11" ht="15">
      <c r="B7" s="142" t="str">
        <f t="shared" si="0"/>
        <v>Bonus - Insulation Bundle A_Two Insulation Measures, min. 1000 sq. ft.+</v>
      </c>
      <c r="C7" s="172" t="s">
        <v>32</v>
      </c>
      <c r="D7" s="172" t="s">
        <v>33</v>
      </c>
      <c r="E7" s="172" t="s">
        <v>34</v>
      </c>
      <c r="F7" s="173">
        <f>INDEX('2024'!AG:AG,MATCH($B7,'2024'!$B:$B,0))</f>
        <v>500</v>
      </c>
      <c r="G7" s="173">
        <f>INDEX('2024'!AI:AI,MATCH(B7,'2024'!B:B,0))</f>
        <v>500</v>
      </c>
      <c r="H7" s="174" t="s">
        <v>693</v>
      </c>
      <c r="I7" s="174">
        <f>INDEX('2024'!AM:AM,MATCH(B7,'2024'!B:B,0))</f>
        <v>0</v>
      </c>
      <c r="J7" s="174" t="s">
        <v>822</v>
      </c>
      <c r="K7" s="174" t="str">
        <f>INDEX('2024'!AP:AP,MATCH($B7,'2024'!$B:$B,0))</f>
        <v>-</v>
      </c>
    </row>
    <row r="8" spans="2:11" ht="15">
      <c r="B8" s="142" t="str">
        <f t="shared" si="0"/>
        <v>Bonus - Kitchen Bundle B (2 - measures)_Any 2 Kitchen equipment measures</v>
      </c>
      <c r="C8" s="172" t="s">
        <v>38</v>
      </c>
      <c r="D8" s="172" t="s">
        <v>39</v>
      </c>
      <c r="E8" s="172" t="s">
        <v>40</v>
      </c>
      <c r="F8" s="173">
        <f>INDEX('2024'!AG:AG,MATCH($B8,'2024'!$B:$B,0))</f>
        <v>300</v>
      </c>
      <c r="G8" s="173">
        <f>INDEX('2024'!AI:AI,MATCH(B8,'2024'!B:B,0))</f>
        <v>300</v>
      </c>
      <c r="H8" s="174" t="s">
        <v>693</v>
      </c>
      <c r="I8" s="174">
        <f>INDEX('2024'!AM:AM,MATCH(B8,'2024'!B:B,0))</f>
        <v>0</v>
      </c>
      <c r="J8" s="174" t="s">
        <v>822</v>
      </c>
      <c r="K8" s="174" t="str">
        <f>INDEX('2024'!AP:AP,MATCH($B8,'2024'!$B:$B,0))</f>
        <v>-</v>
      </c>
    </row>
    <row r="9" spans="2:11" ht="15">
      <c r="B9" s="142" t="str">
        <f t="shared" si="0"/>
        <v>Bonus - Kitchen Bundle C (3 or more measures)_Any 3 Kitchen equipment measures</v>
      </c>
      <c r="C9" s="172" t="s">
        <v>35</v>
      </c>
      <c r="D9" s="172" t="s">
        <v>36</v>
      </c>
      <c r="E9" s="172" t="s">
        <v>37</v>
      </c>
      <c r="F9" s="173">
        <f>INDEX('2024'!AG:AG,MATCH($B9,'2024'!$B:$B,0))</f>
        <v>500</v>
      </c>
      <c r="G9" s="173">
        <f>INDEX('2024'!AI:AI,MATCH(B9,'2024'!B:B,0))</f>
        <v>500</v>
      </c>
      <c r="H9" s="174" t="s">
        <v>693</v>
      </c>
      <c r="I9" s="174">
        <f>INDEX('2024'!AM:AM,MATCH(B9,'2024'!B:B,0))</f>
        <v>0</v>
      </c>
      <c r="J9" s="174" t="s">
        <v>822</v>
      </c>
      <c r="K9" s="174" t="str">
        <f>INDEX('2024'!AP:AP,MATCH($B9,'2024'!$B:$B,0))</f>
        <v>-</v>
      </c>
    </row>
    <row r="10" spans="2:11" ht="15">
      <c r="B10" s="142" t="str">
        <f t="shared" si="0"/>
        <v>Convection Oven (Lodging)_&gt;= 44% Cooking Efficiency,&lt;= 13,000 Btu/hr Idle Rate</v>
      </c>
      <c r="C10" s="172" t="s">
        <v>86</v>
      </c>
      <c r="D10" s="172" t="s">
        <v>9</v>
      </c>
      <c r="E10" s="172" t="s">
        <v>47</v>
      </c>
      <c r="F10" s="173">
        <f>INDEX('2024'!AG:AG,MATCH($B10,'2024'!$B:$B,0))</f>
        <v>800</v>
      </c>
      <c r="G10" s="173">
        <f>INDEX('2024'!AI:AI,MATCH(B10,'2024'!B:B,0))</f>
        <v>800</v>
      </c>
      <c r="H10" s="174">
        <v>1.1187297382785661</v>
      </c>
      <c r="I10" s="174">
        <f>INDEX('2024'!AM:AM,MATCH(B10,'2024'!B:B,0))</f>
        <v>2.407731144636291</v>
      </c>
      <c r="J10" s="174" t="s">
        <v>822</v>
      </c>
      <c r="K10" s="174">
        <f>INDEX('2024'!AP:AP,MATCH($B10,'2024'!$B:$B,0))</f>
        <v>2.1621950476121676</v>
      </c>
    </row>
    <row r="11" spans="2:11" ht="15">
      <c r="B11" s="142" t="str">
        <f t="shared" si="0"/>
        <v>DCV_Meet JUARC Guidelines for DCV RTUs in 5-20 ton</v>
      </c>
      <c r="C11" s="172" t="s">
        <v>44</v>
      </c>
      <c r="D11" s="172" t="s">
        <v>28</v>
      </c>
      <c r="E11" s="172" t="s">
        <v>30</v>
      </c>
      <c r="F11" s="173">
        <f>INDEX('2024'!AG:AG,MATCH($B11,'2024'!$B:$B,0))</f>
        <v>20</v>
      </c>
      <c r="G11" s="173">
        <f>INDEX('2024'!AI:AI,MATCH(B11,'2024'!B:B,0))</f>
        <v>50</v>
      </c>
      <c r="H11" s="174" t="s">
        <v>822</v>
      </c>
      <c r="I11" s="174">
        <f>INDEX('2024'!AM:AM,MATCH(B11,'2024'!B:B,0))</f>
        <v>1.1200594085682511</v>
      </c>
      <c r="J11" s="174" t="s">
        <v>822</v>
      </c>
      <c r="K11" s="174">
        <f>INDEX('2024'!AP:AP,MATCH($B11,'2024'!$B:$B,0))</f>
        <v>0.62370167013425803</v>
      </c>
    </row>
    <row r="12" spans="2:11" ht="15">
      <c r="B12" s="142" t="str">
        <f t="shared" si="0"/>
        <v>Domestic Hot Water Tanks - Condensing_Minimum 91% AFUE or 91% Thermal Efficiency</v>
      </c>
      <c r="C12" s="172" t="s">
        <v>54</v>
      </c>
      <c r="D12" s="172" t="s">
        <v>8</v>
      </c>
      <c r="E12" s="172" t="s">
        <v>12</v>
      </c>
      <c r="F12" s="173">
        <f>INDEX('2024'!AG:AG,MATCH($B12,'2024'!$B:$B,0))</f>
        <v>3</v>
      </c>
      <c r="G12" s="173">
        <f>INDEX('2024'!AI:AI,MATCH(B12,'2024'!B:B,0))</f>
        <v>3</v>
      </c>
      <c r="H12" s="174">
        <v>1.2571650968296528</v>
      </c>
      <c r="I12" s="174">
        <f>INDEX('2024'!AM:AM,MATCH(B12,'2024'!B:B,0))</f>
        <v>3.8289841962359814</v>
      </c>
      <c r="J12" s="174" t="s">
        <v>822</v>
      </c>
      <c r="K12" s="174">
        <f>INDEX('2024'!AP:AP,MATCH($B12,'2024'!$B:$B,0))</f>
        <v>3.9392416402769554</v>
      </c>
    </row>
    <row r="13" spans="2:11" ht="15">
      <c r="B13" s="142" t="str">
        <f t="shared" si="0"/>
        <v>Double Rack Oven_&gt;=50% Cooking Efficiency, &lt;=35,000 Btu/hr Idle Rate</v>
      </c>
      <c r="C13" s="172" t="s">
        <v>23</v>
      </c>
      <c r="D13" s="172" t="s">
        <v>49</v>
      </c>
      <c r="E13" s="172" t="s">
        <v>50</v>
      </c>
      <c r="F13" s="173">
        <f>INDEX('2024'!AG:AG,MATCH($B13,'2024'!$B:$B,0))</f>
        <v>2500</v>
      </c>
      <c r="G13" s="173">
        <f>INDEX('2024'!AI:AI,MATCH(B13,'2024'!B:B,0))</f>
        <v>2700</v>
      </c>
      <c r="H13" s="174">
        <v>1.4221410832415089</v>
      </c>
      <c r="I13" s="174">
        <f>INDEX('2024'!AM:AM,MATCH(B13,'2024'!B:B,0))</f>
        <v>3.9108068301910746</v>
      </c>
      <c r="J13" s="174" t="s">
        <v>822</v>
      </c>
      <c r="K13" s="174">
        <f>INDEX('2024'!AP:AP,MATCH($B13,'2024'!$B:$B,0))</f>
        <v>3.2148007860295014</v>
      </c>
    </row>
    <row r="14" spans="2:11" ht="15">
      <c r="B14" s="142" t="str">
        <f t="shared" si="0"/>
        <v>HVAC Unit Heater - Condensing_Minimum 92% AFUE</v>
      </c>
      <c r="C14" s="172" t="s">
        <v>91</v>
      </c>
      <c r="D14" s="172" t="s">
        <v>99</v>
      </c>
      <c r="E14" s="172" t="s">
        <v>737</v>
      </c>
      <c r="F14" s="173">
        <f>INDEX('2024'!AG:AG,MATCH($B14,'2024'!$B:$B,0))</f>
        <v>5</v>
      </c>
      <c r="G14" s="173">
        <f>INDEX('2024'!AI:AI,MATCH(B14,'2024'!B:B,0))</f>
        <v>5</v>
      </c>
      <c r="H14" s="174">
        <v>1.6223429477269173</v>
      </c>
      <c r="I14" s="174">
        <f>INDEX('2024'!AM:AM,MATCH(B14,'2024'!B:B,0))</f>
        <v>2.2971626528702389</v>
      </c>
      <c r="J14" s="174" t="s">
        <v>822</v>
      </c>
      <c r="K14" s="174">
        <f>INDEX('2024'!AP:AP,MATCH($B14,'2024'!$B:$B,0))</f>
        <v>0.89511785507694486</v>
      </c>
    </row>
    <row r="15" spans="2:11" ht="15">
      <c r="B15" s="142" t="str">
        <f t="shared" si="0"/>
        <v>Insulation - Attic - Min R-30_Minimum R-30</v>
      </c>
      <c r="C15" s="172" t="s">
        <v>746</v>
      </c>
      <c r="D15" s="172" t="s">
        <v>27</v>
      </c>
      <c r="E15" s="172" t="s">
        <v>747</v>
      </c>
      <c r="F15" s="173">
        <f>INDEX('2024'!AG:AG,MATCH($B15,'2024'!$B:$B,0))</f>
        <v>2</v>
      </c>
      <c r="G15" s="173">
        <f>INDEX('2024'!AI:AI,MATCH(B15,'2024'!B:B,0))</f>
        <v>2</v>
      </c>
      <c r="H15" s="174">
        <v>2.5950330502250698</v>
      </c>
      <c r="I15" s="174">
        <f>INDEX('2024'!AM:AM,MATCH(B15,'2024'!B:B,0))</f>
        <v>10.365164418387257</v>
      </c>
      <c r="J15" s="174" t="s">
        <v>822</v>
      </c>
      <c r="K15" s="174">
        <f>INDEX('2024'!AP:AP,MATCH($B15,'2024'!$B:$B,0))</f>
        <v>17.433603662902971</v>
      </c>
    </row>
    <row r="16" spans="2:11" ht="15">
      <c r="B16" s="142" t="str">
        <f t="shared" si="0"/>
        <v>Insulation - Attic - Min R-45_Minimum R-45</v>
      </c>
      <c r="C16" s="172" t="s">
        <v>753</v>
      </c>
      <c r="D16" s="172" t="s">
        <v>27</v>
      </c>
      <c r="E16" s="172" t="s">
        <v>754</v>
      </c>
      <c r="F16" s="173">
        <f>INDEX('2024'!AG:AG,MATCH($B16,'2024'!$B:$B,0))</f>
        <v>2.5</v>
      </c>
      <c r="G16" s="173">
        <f>INDEX('2024'!AI:AI,MATCH(B16,'2024'!B:B,0))</f>
        <v>2.5</v>
      </c>
      <c r="H16" s="174">
        <v>2.3563067372305895</v>
      </c>
      <c r="I16" s="174">
        <f>INDEX('2024'!AM:AM,MATCH(B16,'2024'!B:B,0))</f>
        <v>9.0798889724799849</v>
      </c>
      <c r="J16" s="174" t="s">
        <v>822</v>
      </c>
      <c r="K16" s="174">
        <f>INDEX('2024'!AP:AP,MATCH($B16,'2024'!$B:$B,0))</f>
        <v>13.986061188985474</v>
      </c>
    </row>
    <row r="17" spans="2:11" ht="15">
      <c r="B17" s="142" t="str">
        <f t="shared" si="0"/>
        <v>Insulation - Floor_Equal to or greater than R-30 Post and equal to or less than R-11 Pre</v>
      </c>
      <c r="C17" s="172" t="s">
        <v>111</v>
      </c>
      <c r="D17" s="172" t="s">
        <v>100</v>
      </c>
      <c r="E17" s="172" t="s">
        <v>101</v>
      </c>
      <c r="F17" s="173">
        <f>INDEX('2024'!AG:AG,MATCH($B17,'2024'!$B:$B,0))</f>
        <v>1.25</v>
      </c>
      <c r="G17" s="173">
        <f>INDEX('2024'!AI:AI,MATCH(B17,'2024'!B:B,0))</f>
        <v>1.25</v>
      </c>
      <c r="H17" s="174">
        <v>1.1895865819429752</v>
      </c>
      <c r="I17" s="174">
        <f>INDEX('2024'!AM:AM,MATCH(B17,'2024'!B:B,0))</f>
        <v>2.3075998899556236</v>
      </c>
      <c r="J17" s="174" t="s">
        <v>822</v>
      </c>
      <c r="K17" s="174">
        <f>INDEX('2024'!AP:AP,MATCH($B17,'2024'!$B:$B,0))</f>
        <v>2.4567011942181174</v>
      </c>
    </row>
    <row r="18" spans="2:11" ht="15">
      <c r="B18" s="142" t="str">
        <f t="shared" si="0"/>
        <v>Insulation - Pipe - 1.5"_Retrofit for T&gt;140F&lt;=200F</v>
      </c>
      <c r="C18" s="172" t="s">
        <v>92</v>
      </c>
      <c r="D18" s="172" t="s">
        <v>102</v>
      </c>
      <c r="E18" s="172" t="s">
        <v>103</v>
      </c>
      <c r="F18" s="173">
        <f>INDEX('2024'!AG:AG,MATCH($B18,'2024'!$B:$B,0))</f>
        <v>15</v>
      </c>
      <c r="G18" s="173">
        <f>INDEX('2024'!AI:AI,MATCH(B18,'2024'!B:B,0))</f>
        <v>15</v>
      </c>
      <c r="H18" s="174" t="s">
        <v>822</v>
      </c>
      <c r="I18" s="174">
        <f>INDEX('2024'!AM:AM,MATCH(B18,'2024'!B:B,0))</f>
        <v>6.3553022240378487</v>
      </c>
      <c r="J18" s="174" t="s">
        <v>822</v>
      </c>
      <c r="K18" s="174">
        <f>INDEX('2024'!AP:AP,MATCH($B18,'2024'!$B:$B,0))</f>
        <v>7.5001632908981009</v>
      </c>
    </row>
    <row r="19" spans="2:11" ht="15">
      <c r="B19" s="142" t="str">
        <f t="shared" si="0"/>
        <v>Insulation - Roof - Min R-30_Minimum R-30</v>
      </c>
      <c r="C19" s="172" t="s">
        <v>766</v>
      </c>
      <c r="D19" s="172" t="s">
        <v>74</v>
      </c>
      <c r="E19" s="172" t="s">
        <v>747</v>
      </c>
      <c r="F19" s="173">
        <f>INDEX('2024'!AG:AG,MATCH($B19,'2024'!$B:$B,0))</f>
        <v>2</v>
      </c>
      <c r="G19" s="173">
        <f>INDEX('2024'!AI:AI,MATCH(B19,'2024'!B:B,0))</f>
        <v>2</v>
      </c>
      <c r="H19" s="174">
        <v>2.7805176379249552</v>
      </c>
      <c r="I19" s="174">
        <f>INDEX('2024'!AM:AM,MATCH(B19,'2024'!B:B,0))</f>
        <v>11.430522121114095</v>
      </c>
      <c r="J19" s="174" t="s">
        <v>822</v>
      </c>
      <c r="K19" s="174">
        <f>INDEX('2024'!AP:AP,MATCH($B19,'2024'!$B:$B,0))</f>
        <v>10.860009192030802</v>
      </c>
    </row>
    <row r="20" spans="2:11" ht="15">
      <c r="B20" s="142" t="str">
        <f t="shared" si="0"/>
        <v>Insulation - Wall - Min R-19_Minimum R-19</v>
      </c>
      <c r="C20" s="172" t="s">
        <v>768</v>
      </c>
      <c r="D20" s="172" t="s">
        <v>72</v>
      </c>
      <c r="E20" s="172" t="s">
        <v>769</v>
      </c>
      <c r="F20" s="173">
        <f>INDEX('2024'!AG:AG,MATCH($B20,'2024'!$B:$B,0))</f>
        <v>2</v>
      </c>
      <c r="G20" s="173">
        <f>INDEX('2024'!AI:AI,MATCH(B20,'2024'!B:B,0))</f>
        <v>2</v>
      </c>
      <c r="H20" s="174">
        <v>1.9910502864896782</v>
      </c>
      <c r="I20" s="174">
        <f>INDEX('2024'!AM:AM,MATCH(B20,'2024'!B:B,0))</f>
        <v>7.2797875033899686</v>
      </c>
      <c r="J20" s="174" t="s">
        <v>822</v>
      </c>
      <c r="K20" s="174">
        <f>INDEX('2024'!AP:AP,MATCH($B20,'2024'!$B:$B,0))</f>
        <v>7.8690584106090018</v>
      </c>
    </row>
    <row r="21" spans="2:11" ht="15">
      <c r="B21" s="142" t="str">
        <f t="shared" si="0"/>
        <v>Radiant Heating_None</v>
      </c>
      <c r="C21" s="172" t="s">
        <v>6</v>
      </c>
      <c r="D21" s="172" t="s">
        <v>63</v>
      </c>
      <c r="E21" s="172" t="s">
        <v>11</v>
      </c>
      <c r="F21" s="173">
        <f>INDEX('2024'!AG:AG,MATCH($B21,'2024'!$B:$B,0))</f>
        <v>15</v>
      </c>
      <c r="G21" s="173">
        <f>INDEX('2024'!AI:AI,MATCH(B21,'2024'!B:B,0))</f>
        <v>15</v>
      </c>
      <c r="H21" s="174">
        <v>1.7902856944036281</v>
      </c>
      <c r="I21" s="174">
        <f>INDEX('2024'!AM:AM,MATCH(B21,'2024'!B:B,0))</f>
        <v>1.6133378597807637</v>
      </c>
      <c r="J21" s="174" t="s">
        <v>822</v>
      </c>
      <c r="K21" s="174">
        <f>INDEX('2024'!AP:AP,MATCH($B21,'2024'!$B:$B,0))</f>
        <v>1.1747267912405073</v>
      </c>
    </row>
    <row r="22" spans="2:11" ht="15">
      <c r="B22" s="142" t="str">
        <f t="shared" si="0"/>
        <v>Tankless Water Heater_Minimum .87 Energy Factor</v>
      </c>
      <c r="C22" s="172" t="s">
        <v>58</v>
      </c>
      <c r="D22" s="172" t="s">
        <v>9</v>
      </c>
      <c r="E22" s="172" t="s">
        <v>64</v>
      </c>
      <c r="F22" s="173">
        <f>INDEX('2024'!AG:AG,MATCH($B22,'2024'!$B:$B,0))</f>
        <v>120</v>
      </c>
      <c r="G22" s="173">
        <f>INDEX('2024'!AI:AI,MATCH(B22,'2024'!B:B,0))</f>
        <v>120</v>
      </c>
      <c r="H22" s="174">
        <v>1.5037407981319544</v>
      </c>
      <c r="I22" s="174">
        <f>INDEX('2024'!AM:AM,MATCH(B22,'2024'!B:B,0))</f>
        <v>1.7379665171618157</v>
      </c>
      <c r="J22" s="174" t="s">
        <v>822</v>
      </c>
      <c r="K22" s="174">
        <f>INDEX('2024'!AP:AP,MATCH($B22,'2024'!$B:$B,0))</f>
        <v>1.4973208876349475</v>
      </c>
    </row>
    <row r="23" spans="2:11" ht="15">
      <c r="B23" s="142" t="str">
        <f t="shared" si="0"/>
        <v>Tankless Water Heater - Tier 2_Minimum .93 Energy Factor</v>
      </c>
      <c r="C23" s="172" t="s">
        <v>66</v>
      </c>
      <c r="D23" s="172" t="s">
        <v>9</v>
      </c>
      <c r="E23" s="172" t="s">
        <v>67</v>
      </c>
      <c r="F23" s="173">
        <f>INDEX('2024'!AG:AG,MATCH($B23,'2024'!$B:$B,0))</f>
        <v>150</v>
      </c>
      <c r="G23" s="173">
        <f>INDEX('2024'!AI:AI,MATCH(B23,'2024'!B:B,0))</f>
        <v>150</v>
      </c>
      <c r="H23" s="174">
        <v>1.9344567950329086</v>
      </c>
      <c r="I23" s="174">
        <f>INDEX('2024'!AM:AM,MATCH(B23,'2024'!B:B,0))</f>
        <v>2.1168227242782738</v>
      </c>
      <c r="J23" s="174" t="s">
        <v>822</v>
      </c>
      <c r="K23" s="174">
        <f>INDEX('2024'!AP:AP,MATCH($B23,'2024'!$B:$B,0))</f>
        <v>3.2606121130124941</v>
      </c>
    </row>
    <row r="24" spans="2:11" ht="15">
      <c r="B24" s="142" t="str">
        <f t="shared" si="0"/>
        <v>Warm-Air Furnace_Minimum  91% AFUE</v>
      </c>
      <c r="C24" s="172" t="s">
        <v>60</v>
      </c>
      <c r="D24" s="172" t="s">
        <v>61</v>
      </c>
      <c r="E24" s="172" t="s">
        <v>62</v>
      </c>
      <c r="F24" s="173">
        <f>INDEX('2024'!AG:AG,MATCH($B24,'2024'!$B:$B,0))</f>
        <v>5</v>
      </c>
      <c r="G24" s="173">
        <f>INDEX('2024'!AI:AI,MATCH(B24,'2024'!B:B,0))</f>
        <v>6</v>
      </c>
      <c r="H24" s="174">
        <v>1.6223429477269173</v>
      </c>
      <c r="I24" s="174">
        <f>INDEX('2024'!AM:AM,MATCH(B24,'2024'!B:B,0))</f>
        <v>6.9861902363597235</v>
      </c>
      <c r="J24" s="174" t="s">
        <v>822</v>
      </c>
      <c r="K24" s="174" t="str">
        <f>INDEX('2024'!AP:AP,MATCH($B24,'2024'!$B:$B,0))</f>
        <v>-</v>
      </c>
    </row>
    <row r="25" spans="2:11" ht="15.75" thickBot="1">
      <c r="B25" s="142" t="str">
        <f t="shared" si="0"/>
        <v>Windows_0.3 or less U</v>
      </c>
      <c r="C25" s="194" t="s">
        <v>81</v>
      </c>
      <c r="D25" s="194" t="s">
        <v>299</v>
      </c>
      <c r="E25" s="194" t="s">
        <v>789</v>
      </c>
      <c r="F25" s="195">
        <f>INDEX('2024'!AG:AG,MATCH($B25,'2024'!$B:$B,0))</f>
        <v>7.5</v>
      </c>
      <c r="G25" s="195">
        <f>INDEX('2024'!AI:AI,MATCH(B25,'2024'!B:B,0))</f>
        <v>7.5</v>
      </c>
      <c r="H25" s="196">
        <v>2.7401021676689816</v>
      </c>
      <c r="I25" s="196">
        <f>INDEX('2024'!AM:AM,MATCH(B25,'2024'!B:B,0))</f>
        <v>4.1601615722558103</v>
      </c>
      <c r="J25" s="196" t="s">
        <v>822</v>
      </c>
      <c r="K25" s="196">
        <f>INDEX('2024'!AP:AP,MATCH($B25,'2024'!$B:$B,0))</f>
        <v>1.3069160788167136</v>
      </c>
    </row>
    <row r="26" spans="2:11" ht="15.75" thickTop="1">
      <c r="C26" s="207" t="s">
        <v>819</v>
      </c>
      <c r="D26" s="207"/>
      <c r="E26" s="207"/>
      <c r="F26" s="175"/>
      <c r="G26" s="175"/>
      <c r="H26" s="176">
        <v>1.7916792901963126</v>
      </c>
      <c r="I26" s="176">
        <f>'2024'!AM50</f>
        <v>4.6148224927469039</v>
      </c>
      <c r="J26" s="176">
        <v>1.9682662908418345</v>
      </c>
      <c r="K26" s="176">
        <f>'2024'!AP50</f>
        <v>3.5233871021410961</v>
      </c>
    </row>
    <row r="28" spans="2:11" ht="13.5">
      <c r="C28" s="202" t="s">
        <v>843</v>
      </c>
    </row>
    <row r="30" spans="2:11" ht="30.75" thickBot="1">
      <c r="B30" s="169" t="s">
        <v>665</v>
      </c>
      <c r="C30" s="169" t="s">
        <v>818</v>
      </c>
      <c r="D30" s="169" t="s">
        <v>813</v>
      </c>
      <c r="E30" s="169" t="s">
        <v>812</v>
      </c>
      <c r="F30" s="170" t="s">
        <v>834</v>
      </c>
      <c r="G30" s="171" t="s">
        <v>835</v>
      </c>
      <c r="H30" s="170" t="s">
        <v>836</v>
      </c>
      <c r="I30" s="170" t="s">
        <v>837</v>
      </c>
      <c r="J30" s="170" t="s">
        <v>838</v>
      </c>
      <c r="K30" s="170" t="s">
        <v>839</v>
      </c>
    </row>
    <row r="31" spans="2:11" ht="15.75" thickTop="1">
      <c r="B31" s="142" t="str">
        <f t="shared" ref="B31:B46" si="1">C31&amp;"_"&amp;E31</f>
        <v>Bonus - HVAC_</v>
      </c>
      <c r="C31" s="172" t="s">
        <v>212</v>
      </c>
      <c r="D31" s="172" t="s">
        <v>213</v>
      </c>
      <c r="E31" s="172" t="s">
        <v>173</v>
      </c>
      <c r="F31" s="173">
        <f>INDEX('2024'!AG:AG,MATCH($B31,'2024'!$B:$B,0))</f>
        <v>100</v>
      </c>
      <c r="G31" s="173">
        <f>INDEX('2024'!AI:AI,MATCH(B31,'2024'!B:B,0))</f>
        <v>100</v>
      </c>
      <c r="H31" s="174" t="s">
        <v>822</v>
      </c>
      <c r="I31" s="174">
        <f>INDEX('2024'!AR:AR,MATCH(B31,'2024'!B:B,0))</f>
        <v>0</v>
      </c>
      <c r="J31" s="174" t="s">
        <v>822</v>
      </c>
      <c r="K31" s="174" t="str">
        <f>INDEX('2024'!AP:AP,MATCH($B31,'2024'!$B:$B,0))</f>
        <v>-</v>
      </c>
    </row>
    <row r="32" spans="2:11" ht="15">
      <c r="B32" s="142" t="str">
        <f t="shared" si="1"/>
        <v>Bonus - Radiant Bundle D (radiant &amp; insulation)_Any combination of radiant heating and insulation</v>
      </c>
      <c r="C32" s="172" t="s">
        <v>840</v>
      </c>
      <c r="D32" s="172" t="s">
        <v>841</v>
      </c>
      <c r="E32" s="172" t="s">
        <v>306</v>
      </c>
      <c r="F32" s="173">
        <f>INDEX('2024'!AG:AG,MATCH($B32,'2024'!$B:$B,0))</f>
        <v>0</v>
      </c>
      <c r="G32" s="173">
        <f>INDEX('2024'!AI:AI,MATCH(B32,'2024'!B:B,0))</f>
        <v>0</v>
      </c>
      <c r="H32" s="174" t="s">
        <v>822</v>
      </c>
      <c r="I32" s="174">
        <f>INDEX('2024'!AR:AR,MATCH(B32,'2024'!B:B,0))</f>
        <v>0</v>
      </c>
      <c r="J32" s="174" t="s">
        <v>822</v>
      </c>
      <c r="K32" s="174" t="str">
        <f>INDEX('2024'!AP:AP,MATCH($B32,'2024'!$B:$B,0))</f>
        <v>-</v>
      </c>
    </row>
    <row r="33" spans="2:11" ht="15">
      <c r="B33" s="142" t="str">
        <f t="shared" ref="B33:B35" si="2">C33&amp;"_"&amp;E33</f>
        <v>Convection Oven (Grocery)_&gt;= 44% Cooking Efficiency,&lt;= 13,000 Btu/hr Idle Rate</v>
      </c>
      <c r="C33" s="172" t="s">
        <v>85</v>
      </c>
      <c r="D33" s="172" t="s">
        <v>9</v>
      </c>
      <c r="E33" s="172" t="s">
        <v>47</v>
      </c>
      <c r="F33" s="173">
        <f>INDEX('2024'!AG:AG,MATCH($B33,'2024'!$B:$B,0))</f>
        <v>800</v>
      </c>
      <c r="G33" s="173">
        <f>INDEX('2024'!AI:AI,MATCH(B33,'2024'!B:B,0))</f>
        <v>800</v>
      </c>
      <c r="H33" s="174" t="s">
        <v>822</v>
      </c>
      <c r="I33" s="174">
        <f>INDEX('2024'!AR:AR,MATCH(B33,'2024'!B:B,0))</f>
        <v>3.0750723012275518</v>
      </c>
      <c r="J33" s="174" t="s">
        <v>822</v>
      </c>
      <c r="K33" s="174" t="str">
        <f>INDEX('2024'!AP:AP,MATCH($B33,'2024'!$B:$B,0))</f>
        <v>-</v>
      </c>
    </row>
    <row r="34" spans="2:11" ht="15">
      <c r="B34" s="142" t="str">
        <f t="shared" si="2"/>
        <v>Convection Oven (Restaurant)_&gt;= 44% Cooking Efficiency,&lt;= 13,000 Btu/hr Idle Rate</v>
      </c>
      <c r="C34" s="172" t="s">
        <v>46</v>
      </c>
      <c r="D34" s="172" t="s">
        <v>9</v>
      </c>
      <c r="E34" s="172" t="s">
        <v>47</v>
      </c>
      <c r="F34" s="173">
        <f>INDEX('2024'!AG:AG,MATCH($B34,'2024'!$B:$B,0))</f>
        <v>800</v>
      </c>
      <c r="G34" s="173">
        <f>INDEX('2024'!AI:AI,MATCH(B34,'2024'!B:B,0))</f>
        <v>800</v>
      </c>
      <c r="H34" s="174" t="s">
        <v>822</v>
      </c>
      <c r="I34" s="174">
        <f>INDEX('2024'!AR:AR,MATCH(B34,'2024'!B:B,0))</f>
        <v>3.7336241728918056</v>
      </c>
      <c r="J34" s="174" t="s">
        <v>822</v>
      </c>
      <c r="K34" s="174" t="str">
        <f>INDEX('2024'!AP:AP,MATCH($B34,'2024'!$B:$B,0))</f>
        <v>-</v>
      </c>
    </row>
    <row r="35" spans="2:11" ht="15">
      <c r="B35" s="142" t="str">
        <f t="shared" si="2"/>
        <v>Convection Oven (School)_&gt;= 44% Cooking Efficiency,&lt;= 13,000 Btu/hr Idle Rate</v>
      </c>
      <c r="C35" s="172" t="s">
        <v>87</v>
      </c>
      <c r="D35" s="172" t="s">
        <v>9</v>
      </c>
      <c r="E35" s="172" t="s">
        <v>47</v>
      </c>
      <c r="F35" s="173">
        <f>INDEX('2024'!AG:AG,MATCH($B35,'2024'!$B:$B,0))</f>
        <v>800</v>
      </c>
      <c r="G35" s="173">
        <f>INDEX('2024'!AI:AI,MATCH(B35,'2024'!B:B,0))</f>
        <v>800</v>
      </c>
      <c r="H35" s="174" t="s">
        <v>822</v>
      </c>
      <c r="I35" s="174">
        <f>INDEX('2024'!AR:AR,MATCH(B35,'2024'!B:B,0))</f>
        <v>1.8570959548953947</v>
      </c>
      <c r="J35" s="174" t="s">
        <v>822</v>
      </c>
      <c r="K35" s="174" t="str">
        <f>INDEX('2024'!AP:AP,MATCH($B35,'2024'!$B:$B,0))</f>
        <v>-</v>
      </c>
    </row>
    <row r="36" spans="2:11" ht="15">
      <c r="B36" s="142" t="str">
        <f t="shared" si="1"/>
        <v>DHW Recirculation Controls_Add time clock or other schedule control for continuous operation DHW recirculation pump</v>
      </c>
      <c r="C36" s="172" t="s">
        <v>88</v>
      </c>
      <c r="D36" s="172" t="s">
        <v>97</v>
      </c>
      <c r="E36" s="172" t="s">
        <v>98</v>
      </c>
      <c r="F36" s="173">
        <f>INDEX('2024'!AG:AG,MATCH($B36,'2024'!$B:$B,0))</f>
        <v>200</v>
      </c>
      <c r="G36" s="173">
        <f>INDEX('2024'!AI:AI,MATCH(B36,'2024'!B:B,0))</f>
        <v>200</v>
      </c>
      <c r="H36" s="174" t="s">
        <v>822</v>
      </c>
      <c r="I36" s="174">
        <f>INDEX('2024'!AR:AR,MATCH(B36,'2024'!B:B,0))</f>
        <v>3.714055845972756</v>
      </c>
      <c r="J36" s="174" t="s">
        <v>822</v>
      </c>
      <c r="K36" s="174" t="str">
        <f>INDEX('2024'!AP:AP,MATCH($B36,'2024'!$B:$B,0))</f>
        <v>-</v>
      </c>
    </row>
    <row r="37" spans="2:11" ht="15">
      <c r="B37" s="142" t="str">
        <f t="shared" si="1"/>
        <v>Energy Saver Kit A_PRSV &lt;=1 gpm / Aerators &lt;=.75 gpm</v>
      </c>
      <c r="C37" s="172" t="s">
        <v>41</v>
      </c>
      <c r="D37" s="172" t="s">
        <v>219</v>
      </c>
      <c r="E37" s="172" t="s">
        <v>42</v>
      </c>
      <c r="F37" s="173">
        <f>INDEX('2024'!AG:AG,MATCH($B37,'2024'!$B:$B,0))</f>
        <v>0</v>
      </c>
      <c r="G37" s="173">
        <f>INDEX('2024'!AI:AI,MATCH(B37,'2024'!B:B,0))</f>
        <v>0</v>
      </c>
      <c r="H37" s="174" t="s">
        <v>822</v>
      </c>
      <c r="I37" s="174">
        <f>INDEX('2024'!AR:AR,MATCH(B37,'2024'!B:B,0))</f>
        <v>0</v>
      </c>
      <c r="J37" s="174" t="s">
        <v>822</v>
      </c>
      <c r="K37" s="174" t="str">
        <f>INDEX('2024'!AP:AP,MATCH($B37,'2024'!$B:$B,0))</f>
        <v>-</v>
      </c>
    </row>
    <row r="38" spans="2:11" ht="15">
      <c r="B38" s="142" t="str">
        <f t="shared" si="1"/>
        <v>Gas Conveyor Oven_&gt;=42% Baking Efficiency</v>
      </c>
      <c r="C38" s="172" t="s">
        <v>29</v>
      </c>
      <c r="D38" s="172" t="s">
        <v>56</v>
      </c>
      <c r="E38" s="172" t="s">
        <v>57</v>
      </c>
      <c r="F38" s="173">
        <f>INDEX('2024'!AG:AG,MATCH($B38,'2024'!$B:$B,0))</f>
        <v>700</v>
      </c>
      <c r="G38" s="173">
        <f>INDEX('2024'!AI:AI,MATCH(B38,'2024'!B:B,0))</f>
        <v>700</v>
      </c>
      <c r="H38" s="174" t="s">
        <v>822</v>
      </c>
      <c r="I38" s="174">
        <f>INDEX('2024'!AR:AR,MATCH(B38,'2024'!B:B,0))</f>
        <v>5.9174708523272601</v>
      </c>
      <c r="J38" s="174" t="s">
        <v>822</v>
      </c>
      <c r="K38" s="174" t="str">
        <f>INDEX('2024'!AP:AP,MATCH($B38,'2024'!$B:$B,0))</f>
        <v>-</v>
      </c>
    </row>
    <row r="39" spans="2:11" ht="15">
      <c r="B39" s="142" t="str">
        <f t="shared" si="1"/>
        <v>Griddle (Grocery)_&gt;=38% Cooking Efficiency,&lt;= 2650 Btu/hr-sq ft Idle Rate</v>
      </c>
      <c r="C39" s="172" t="s">
        <v>845</v>
      </c>
      <c r="D39" s="172" t="s">
        <v>9</v>
      </c>
      <c r="E39" s="172" t="s">
        <v>52</v>
      </c>
      <c r="F39" s="173">
        <f>INDEX('2024'!AG:AG,MATCH($B39,'2024'!$B:$B,0))</f>
        <v>600</v>
      </c>
      <c r="G39" s="173">
        <f>INDEX('2024'!AI:AI,MATCH(B39,'2024'!B:B,0))</f>
        <v>600</v>
      </c>
      <c r="H39" s="174" t="s">
        <v>822</v>
      </c>
      <c r="I39" s="174">
        <f>INDEX('2024'!AR:AR,MATCH(B39,'2024'!B:B,0))</f>
        <v>2.5174550575309689</v>
      </c>
      <c r="J39" s="174" t="s">
        <v>822</v>
      </c>
      <c r="K39" s="174" t="str">
        <f>INDEX('2024'!AP:AP,MATCH($B39,'2024'!$B:$B,0))</f>
        <v>-</v>
      </c>
    </row>
    <row r="40" spans="2:11" ht="15">
      <c r="B40" s="142" t="str">
        <f t="shared" ref="B40:B42" si="3">C40&amp;"_"&amp;E40</f>
        <v>Griddle (Lodging)_&gt;=38% Cooking Efficiency,&lt;= 2650 Btu/hr-sq ft Idle Rate</v>
      </c>
      <c r="C40" s="172" t="s">
        <v>89</v>
      </c>
      <c r="D40" s="172" t="s">
        <v>9</v>
      </c>
      <c r="E40" s="172" t="s">
        <v>52</v>
      </c>
      <c r="F40" s="173">
        <f>INDEX('2024'!AG:AG,MATCH($B40,'2024'!$B:$B,0))</f>
        <v>600</v>
      </c>
      <c r="G40" s="173">
        <f>INDEX('2024'!AI:AI,MATCH(B40,'2024'!B:B,0))</f>
        <v>600</v>
      </c>
      <c r="H40" s="174" t="s">
        <v>822</v>
      </c>
      <c r="I40" s="174">
        <f>INDEX('2024'!AR:AR,MATCH(B40,'2024'!B:B,0))</f>
        <v>1.8283724797008645</v>
      </c>
      <c r="J40" s="174" t="s">
        <v>822</v>
      </c>
      <c r="K40" s="174" t="str">
        <f>INDEX('2024'!AP:AP,MATCH($B40,'2024'!$B:$B,0))</f>
        <v>-</v>
      </c>
    </row>
    <row r="41" spans="2:11" ht="15">
      <c r="B41" s="142" t="str">
        <f t="shared" si="3"/>
        <v>Griddle (Restaurant)_&gt;=38% Cooking Efficiency,&lt;= 2650 Btu/hr-sq ft Idle Rate</v>
      </c>
      <c r="C41" s="172" t="s">
        <v>51</v>
      </c>
      <c r="D41" s="172" t="s">
        <v>9</v>
      </c>
      <c r="E41" s="172" t="s">
        <v>52</v>
      </c>
      <c r="F41" s="173">
        <f>INDEX('2024'!AG:AG,MATCH($B41,'2024'!$B:$B,0))</f>
        <v>600</v>
      </c>
      <c r="G41" s="173">
        <f>INDEX('2024'!AI:AI,MATCH(B41,'2024'!B:B,0))</f>
        <v>600</v>
      </c>
      <c r="H41" s="174" t="s">
        <v>822</v>
      </c>
      <c r="I41" s="174">
        <f>INDEX('2024'!AR:AR,MATCH(B41,'2024'!B:B,0))</f>
        <v>3.3032629308656394</v>
      </c>
      <c r="J41" s="174" t="s">
        <v>822</v>
      </c>
      <c r="K41" s="174" t="str">
        <f>INDEX('2024'!AP:AP,MATCH($B41,'2024'!$B:$B,0))</f>
        <v>-</v>
      </c>
    </row>
    <row r="42" spans="2:11" ht="15">
      <c r="B42" s="142" t="str">
        <f t="shared" si="3"/>
        <v>Griddle (School)_&gt;=38% Cooking Efficiency,&lt;= 2650 Btu/hr-sq ft Idle Rate</v>
      </c>
      <c r="C42" s="172" t="s">
        <v>90</v>
      </c>
      <c r="D42" s="172" t="s">
        <v>9</v>
      </c>
      <c r="E42" s="172" t="s">
        <v>52</v>
      </c>
      <c r="F42" s="173">
        <f>INDEX('2024'!AG:AG,MATCH($B42,'2024'!$B:$B,0))</f>
        <v>600</v>
      </c>
      <c r="G42" s="173">
        <f>INDEX('2024'!AI:AI,MATCH(B42,'2024'!B:B,0))</f>
        <v>600</v>
      </c>
      <c r="H42" s="174" t="s">
        <v>822</v>
      </c>
      <c r="I42" s="174">
        <f>INDEX('2024'!AR:AR,MATCH(B42,'2024'!B:B,0))</f>
        <v>1.3281110577869779</v>
      </c>
      <c r="J42" s="174" t="s">
        <v>822</v>
      </c>
      <c r="K42" s="174" t="str">
        <f>INDEX('2024'!AP:AP,MATCH($B42,'2024'!$B:$B,0))</f>
        <v>-</v>
      </c>
    </row>
    <row r="43" spans="2:11" ht="15">
      <c r="B43" s="142" t="str">
        <f t="shared" si="1"/>
        <v>Insulation - Pipe - 2.5"_Retrofit for T&gt;200F</v>
      </c>
      <c r="C43" s="172" t="s">
        <v>93</v>
      </c>
      <c r="D43" s="172" t="s">
        <v>104</v>
      </c>
      <c r="E43" s="172" t="s">
        <v>105</v>
      </c>
      <c r="F43" s="173">
        <f>INDEX('2024'!AG:AG,MATCH($B43,'2024'!$B:$B,0))</f>
        <v>25</v>
      </c>
      <c r="G43" s="173">
        <f>INDEX('2024'!AI:AI,MATCH(B43,'2024'!B:B,0))</f>
        <v>25</v>
      </c>
      <c r="H43" s="174" t="s">
        <v>822</v>
      </c>
      <c r="I43" s="174">
        <f>INDEX('2024'!AR:AR,MATCH(B43,'2024'!B:B,0))</f>
        <v>7.7803797436586626</v>
      </c>
      <c r="J43" s="174" t="s">
        <v>822</v>
      </c>
      <c r="K43" s="174" t="str">
        <f>INDEX('2024'!AP:AP,MATCH($B43,'2024'!$B:$B,0))</f>
        <v>-</v>
      </c>
    </row>
    <row r="44" spans="2:11" ht="15">
      <c r="B44" s="142" t="str">
        <f t="shared" si="1"/>
        <v>Ozone Injection Laundry_Minimum 125 lb Total Washer/Extractor Capacity  and Pre Approved by CNG</v>
      </c>
      <c r="C44" s="172" t="s">
        <v>94</v>
      </c>
      <c r="D44" s="172" t="s">
        <v>106</v>
      </c>
      <c r="E44" s="172" t="s">
        <v>107</v>
      </c>
      <c r="F44" s="173">
        <f>INDEX('2024'!AG:AG,MATCH($B44,'2024'!$B:$B,0))</f>
        <v>9000</v>
      </c>
      <c r="G44" s="173">
        <f>INDEX('2024'!AI:AI,MATCH(B44,'2024'!B:B,0))</f>
        <v>9000</v>
      </c>
      <c r="H44" s="174" t="s">
        <v>822</v>
      </c>
      <c r="I44" s="174">
        <f>INDEX('2024'!AR:AR,MATCH(B44,'2024'!B:B,0))</f>
        <v>2.2971985538481272</v>
      </c>
      <c r="J44" s="174" t="s">
        <v>822</v>
      </c>
      <c r="K44" s="174" t="str">
        <f>INDEX('2024'!AP:AP,MATCH($B44,'2024'!$B:$B,0))</f>
        <v>-</v>
      </c>
    </row>
    <row r="45" spans="2:11" ht="15">
      <c r="B45" s="142" t="str">
        <f t="shared" si="1"/>
        <v>Windows_0.27 or less U</v>
      </c>
      <c r="C45" s="172" t="s">
        <v>81</v>
      </c>
      <c r="D45" s="172" t="s">
        <v>82</v>
      </c>
      <c r="E45" s="172" t="s">
        <v>83</v>
      </c>
      <c r="F45" s="173">
        <f>INDEX('2024'!AG:AG,MATCH($B45,'2024'!$B:$B,0))</f>
        <v>5</v>
      </c>
      <c r="G45" s="173">
        <f>INDEX('2024'!AI:AI,MATCH(B45,'2024'!B:B,0))</f>
        <v>5</v>
      </c>
      <c r="H45" s="174" t="s">
        <v>822</v>
      </c>
      <c r="I45" s="174">
        <f>INDEX('2024'!AR:AR,MATCH(B45,'2024'!B:B,0))</f>
        <v>12.928464867627751</v>
      </c>
      <c r="J45" s="174" t="s">
        <v>822</v>
      </c>
      <c r="K45" s="174" t="str">
        <f>INDEX('2024'!AP:AP,MATCH($B45,'2024'!$B:$B,0))</f>
        <v>-</v>
      </c>
    </row>
    <row r="46" spans="2:11" ht="15.75" thickBot="1">
      <c r="B46" s="142" t="str">
        <f t="shared" si="1"/>
        <v>Windows_U-.22 or less</v>
      </c>
      <c r="C46" s="194" t="s">
        <v>81</v>
      </c>
      <c r="D46" s="194" t="s">
        <v>311</v>
      </c>
      <c r="E46" s="194" t="s">
        <v>797</v>
      </c>
      <c r="F46" s="195">
        <f>INDEX('2024'!AG:AG,MATCH($B46,'2024'!$B:$B,0))</f>
        <v>9</v>
      </c>
      <c r="G46" s="195">
        <f>INDEX('2024'!AI:AI,MATCH(B46,'2024'!B:B,0))</f>
        <v>9</v>
      </c>
      <c r="H46" s="196" t="s">
        <v>822</v>
      </c>
      <c r="I46" s="196">
        <f>INDEX('2024'!AR:AR,MATCH(B46,'2024'!B:B,0))</f>
        <v>3.5448502759767484</v>
      </c>
      <c r="J46" s="196" t="s">
        <v>822</v>
      </c>
      <c r="K46" s="196" t="str">
        <f>INDEX('2024'!AP:AP,MATCH($B46,'2024'!$B:$B,0))</f>
        <v>-</v>
      </c>
    </row>
    <row r="47" spans="2:11" ht="14.25" thickTop="1">
      <c r="I47" s="202" t="s">
        <v>844</v>
      </c>
    </row>
  </sheetData>
  <autoFilter ref="B4:K4" xr:uid="{E4DFD318-C448-430D-80E7-8AB6D331C614}"/>
  <mergeCells count="1">
    <mergeCell ref="C26:E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61"/>
  <sheetViews>
    <sheetView topLeftCell="A28" zoomScaleNormal="100" workbookViewId="0">
      <selection activeCell="H46" sqref="H46"/>
    </sheetView>
  </sheetViews>
  <sheetFormatPr defaultColWidth="10.6640625" defaultRowHeight="12.75"/>
  <cols>
    <col min="1" max="1" width="7.33203125" style="4" bestFit="1" customWidth="1"/>
    <col min="2" max="2" width="7.6640625" style="4" bestFit="1" customWidth="1"/>
    <col min="3" max="3" width="18" style="4" customWidth="1"/>
    <col min="4" max="4" width="12.33203125" style="4" bestFit="1" customWidth="1"/>
    <col min="5" max="5" width="13.5" style="4" bestFit="1" customWidth="1"/>
    <col min="6" max="6" width="20.33203125" style="4" bestFit="1" customWidth="1"/>
    <col min="7" max="7" width="20.33203125" style="4" customWidth="1"/>
    <col min="8" max="8" width="19.33203125" style="4" bestFit="1" customWidth="1"/>
    <col min="9" max="16384" width="10.6640625" style="4"/>
  </cols>
  <sheetData>
    <row r="1" spans="1:8" s="3" customFormat="1">
      <c r="A1" s="208" t="s">
        <v>1</v>
      </c>
      <c r="B1" s="208"/>
      <c r="C1" s="208"/>
      <c r="D1" s="208"/>
      <c r="E1" s="208"/>
      <c r="F1" s="208"/>
      <c r="G1" s="208"/>
      <c r="H1" s="208"/>
    </row>
    <row r="2" spans="1:8" s="3" customFormat="1">
      <c r="A2" s="208" t="s">
        <v>31</v>
      </c>
      <c r="B2" s="208"/>
      <c r="C2" s="208"/>
      <c r="D2" s="208"/>
      <c r="E2" s="208"/>
      <c r="F2" s="208"/>
      <c r="G2" s="208"/>
      <c r="H2" s="208"/>
    </row>
    <row r="3" spans="1:8" s="3" customFormat="1">
      <c r="A3" s="208" t="s">
        <v>24</v>
      </c>
      <c r="B3" s="208"/>
      <c r="C3" s="208"/>
      <c r="D3" s="208"/>
      <c r="E3" s="208"/>
      <c r="F3" s="208"/>
      <c r="G3" s="208"/>
      <c r="H3" s="208"/>
    </row>
    <row r="4" spans="1:8" s="3" customFormat="1">
      <c r="A4" s="208" t="s">
        <v>13</v>
      </c>
      <c r="B4" s="208"/>
      <c r="C4" s="208"/>
      <c r="D4" s="208"/>
      <c r="E4" s="208"/>
      <c r="F4" s="208"/>
      <c r="G4" s="208"/>
      <c r="H4" s="208"/>
    </row>
    <row r="6" spans="1:8" s="5" customFormat="1" ht="39">
      <c r="B6" s="79" t="s">
        <v>14</v>
      </c>
      <c r="C6" s="79" t="s">
        <v>264</v>
      </c>
      <c r="D6" s="79" t="s">
        <v>265</v>
      </c>
      <c r="E6" s="79" t="s">
        <v>266</v>
      </c>
      <c r="F6" s="79" t="s">
        <v>267</v>
      </c>
      <c r="G6" s="79" t="s">
        <v>268</v>
      </c>
    </row>
    <row r="7" spans="1:8" s="5" customFormat="1">
      <c r="A7" s="75">
        <v>2023</v>
      </c>
      <c r="B7" s="75">
        <v>1</v>
      </c>
      <c r="C7" s="76">
        <v>1.3148844530405923</v>
      </c>
      <c r="D7" s="76">
        <v>1.3148844530405923</v>
      </c>
      <c r="E7" s="76">
        <f>D7</f>
        <v>1.3148844530405923</v>
      </c>
      <c r="F7" s="75" t="s">
        <v>825</v>
      </c>
      <c r="G7" s="77">
        <f>E7*(1+F7)</f>
        <v>1.4463728983446518</v>
      </c>
    </row>
    <row r="8" spans="1:8" s="5" customFormat="1">
      <c r="A8" s="75">
        <v>2024</v>
      </c>
      <c r="B8" s="75">
        <v>2</v>
      </c>
      <c r="C8" s="76">
        <v>1.189830583020383</v>
      </c>
      <c r="D8" s="76">
        <v>1.2500360105212143</v>
      </c>
      <c r="E8" s="76">
        <f>D8+E7</f>
        <v>2.5649204635618066</v>
      </c>
      <c r="F8" s="75" t="s">
        <v>825</v>
      </c>
      <c r="G8" s="77">
        <f>E8*(1+F8)</f>
        <v>2.8214125099179874</v>
      </c>
    </row>
    <row r="9" spans="1:8" s="5" customFormat="1">
      <c r="A9" s="75">
        <v>2025</v>
      </c>
      <c r="B9" s="75">
        <v>3</v>
      </c>
      <c r="C9" s="76">
        <v>0.97767861798107436</v>
      </c>
      <c r="D9" s="76">
        <v>1.079122903347093</v>
      </c>
      <c r="E9" s="76">
        <f>D9+E8</f>
        <v>3.6440433669088996</v>
      </c>
      <c r="F9" s="75" t="s">
        <v>825</v>
      </c>
      <c r="G9" s="77">
        <f t="shared" ref="G9:G56" si="0">E9*(1+F9)</f>
        <v>4.0084477035997903</v>
      </c>
    </row>
    <row r="10" spans="1:8">
      <c r="A10" s="75">
        <v>2026</v>
      </c>
      <c r="B10" s="75">
        <v>4</v>
      </c>
      <c r="C10" s="76">
        <v>0.82156059710277241</v>
      </c>
      <c r="D10" s="76">
        <v>0.95269040505322133</v>
      </c>
      <c r="E10" s="76">
        <f t="shared" ref="E10:E56" si="1">D10+E9</f>
        <v>4.5967337719621213</v>
      </c>
      <c r="F10" s="75" t="s">
        <v>825</v>
      </c>
      <c r="G10" s="77">
        <f t="shared" si="0"/>
        <v>5.0564071491583338</v>
      </c>
    </row>
    <row r="11" spans="1:8">
      <c r="A11" s="75">
        <v>2027</v>
      </c>
      <c r="B11" s="75">
        <v>5</v>
      </c>
      <c r="C11" s="76">
        <v>0.84508639888784032</v>
      </c>
      <c r="D11" s="76">
        <v>1.029557716435715</v>
      </c>
      <c r="E11" s="76">
        <f t="shared" si="1"/>
        <v>5.6262914883978361</v>
      </c>
      <c r="F11" s="75" t="s">
        <v>825</v>
      </c>
      <c r="G11" s="77">
        <f t="shared" si="0"/>
        <v>6.1889206372376204</v>
      </c>
    </row>
    <row r="12" spans="1:8">
      <c r="A12" s="75">
        <v>2028</v>
      </c>
      <c r="B12" s="75">
        <v>6</v>
      </c>
      <c r="C12" s="76">
        <v>0.79116461791015147</v>
      </c>
      <c r="D12" s="76">
        <v>1.0126371103782339</v>
      </c>
      <c r="E12" s="76">
        <f t="shared" si="1"/>
        <v>6.6389285987760704</v>
      </c>
      <c r="F12" s="75" t="s">
        <v>825</v>
      </c>
      <c r="G12" s="77">
        <f t="shared" si="0"/>
        <v>7.3028214586536784</v>
      </c>
    </row>
    <row r="13" spans="1:8">
      <c r="A13" s="75">
        <v>2029</v>
      </c>
      <c r="B13" s="75">
        <v>7</v>
      </c>
      <c r="C13" s="76">
        <v>0.80689086376693353</v>
      </c>
      <c r="D13" s="76">
        <v>1.0850235810044973</v>
      </c>
      <c r="E13" s="76">
        <f t="shared" si="1"/>
        <v>7.7239521797805679</v>
      </c>
      <c r="F13" s="75" t="s">
        <v>825</v>
      </c>
      <c r="G13" s="77">
        <f t="shared" si="0"/>
        <v>8.4963473977586261</v>
      </c>
    </row>
    <row r="14" spans="1:8">
      <c r="A14" s="75">
        <v>2030</v>
      </c>
      <c r="B14" s="75">
        <v>8</v>
      </c>
      <c r="C14" s="76">
        <v>1.9041029935858143</v>
      </c>
      <c r="D14" s="76">
        <v>2.6899995731679596</v>
      </c>
      <c r="E14" s="76">
        <f t="shared" si="1"/>
        <v>10.413951752948527</v>
      </c>
      <c r="F14" s="75" t="s">
        <v>825</v>
      </c>
      <c r="G14" s="77">
        <f t="shared" si="0"/>
        <v>11.455346928243381</v>
      </c>
    </row>
    <row r="15" spans="1:8">
      <c r="A15" s="75">
        <v>2031</v>
      </c>
      <c r="B15" s="75">
        <v>9</v>
      </c>
      <c r="C15" s="76">
        <v>0.74595058336619113</v>
      </c>
      <c r="D15" s="76">
        <v>1.1071570495684548</v>
      </c>
      <c r="E15" s="76">
        <f t="shared" si="1"/>
        <v>11.521108802516983</v>
      </c>
      <c r="F15" s="75" t="s">
        <v>825</v>
      </c>
      <c r="G15" s="77">
        <f t="shared" si="0"/>
        <v>12.673219682768682</v>
      </c>
    </row>
    <row r="16" spans="1:8">
      <c r="A16" s="75">
        <v>2032</v>
      </c>
      <c r="B16" s="75">
        <v>10</v>
      </c>
      <c r="C16" s="76">
        <v>0.66646118148211464</v>
      </c>
      <c r="D16" s="76">
        <v>1.0392294056902363</v>
      </c>
      <c r="E16" s="76">
        <f t="shared" si="1"/>
        <v>12.560338208207218</v>
      </c>
      <c r="F16" s="75" t="s">
        <v>825</v>
      </c>
      <c r="G16" s="77">
        <f t="shared" si="0"/>
        <v>13.816372029027942</v>
      </c>
    </row>
    <row r="17" spans="1:7">
      <c r="A17" s="75">
        <v>2033</v>
      </c>
      <c r="B17" s="75">
        <v>11</v>
      </c>
      <c r="C17" s="76">
        <v>0.73054120823914637</v>
      </c>
      <c r="D17" s="76">
        <v>1.1967920158886738</v>
      </c>
      <c r="E17" s="76">
        <f t="shared" si="1"/>
        <v>13.757130224095892</v>
      </c>
      <c r="F17" s="75" t="s">
        <v>825</v>
      </c>
      <c r="G17" s="77">
        <f t="shared" si="0"/>
        <v>15.132843246505482</v>
      </c>
    </row>
    <row r="18" spans="1:7">
      <c r="A18" s="75">
        <v>2034</v>
      </c>
      <c r="B18" s="75">
        <v>12</v>
      </c>
      <c r="C18" s="76">
        <v>0.674413834862158</v>
      </c>
      <c r="D18" s="76">
        <v>1.1607477003466722</v>
      </c>
      <c r="E18" s="76">
        <f t="shared" si="1"/>
        <v>14.917877924442564</v>
      </c>
      <c r="F18" s="75" t="s">
        <v>825</v>
      </c>
      <c r="G18" s="77">
        <f t="shared" si="0"/>
        <v>16.409665716886821</v>
      </c>
    </row>
    <row r="19" spans="1:7">
      <c r="A19" s="75">
        <v>2035</v>
      </c>
      <c r="B19" s="75">
        <v>13</v>
      </c>
      <c r="C19" s="76">
        <v>0.65188416892664935</v>
      </c>
      <c r="D19" s="76">
        <v>1.1787431769770484</v>
      </c>
      <c r="E19" s="76">
        <f t="shared" si="1"/>
        <v>16.096621101419611</v>
      </c>
      <c r="F19" s="75" t="s">
        <v>825</v>
      </c>
      <c r="G19" s="77">
        <f t="shared" si="0"/>
        <v>17.706283211561573</v>
      </c>
    </row>
    <row r="20" spans="1:7">
      <c r="A20" s="75">
        <v>2036</v>
      </c>
      <c r="B20" s="75">
        <v>14</v>
      </c>
      <c r="C20" s="76">
        <v>0.8299141812502816</v>
      </c>
      <c r="D20" s="76">
        <v>1.5765920771721413</v>
      </c>
      <c r="E20" s="76">
        <f t="shared" si="1"/>
        <v>17.673213178591752</v>
      </c>
      <c r="F20" s="75" t="s">
        <v>825</v>
      </c>
      <c r="G20" s="77">
        <f t="shared" si="0"/>
        <v>19.44053449645093</v>
      </c>
    </row>
    <row r="21" spans="1:7">
      <c r="A21" s="75">
        <v>2037</v>
      </c>
      <c r="B21" s="75">
        <v>15</v>
      </c>
      <c r="C21" s="76">
        <v>0.56640063014363862</v>
      </c>
      <c r="D21" s="76">
        <v>1.1304393805194215</v>
      </c>
      <c r="E21" s="76">
        <f t="shared" si="1"/>
        <v>18.803652559111175</v>
      </c>
      <c r="F21" s="75" t="s">
        <v>825</v>
      </c>
      <c r="G21" s="77">
        <f t="shared" si="0"/>
        <v>20.684017815022294</v>
      </c>
    </row>
    <row r="22" spans="1:7">
      <c r="A22" s="75">
        <v>2038</v>
      </c>
      <c r="B22" s="75">
        <v>16</v>
      </c>
      <c r="C22" s="76">
        <v>0.59756136768796009</v>
      </c>
      <c r="D22" s="76">
        <v>1.2529780402760189</v>
      </c>
      <c r="E22" s="76">
        <f t="shared" si="1"/>
        <v>20.056630599387194</v>
      </c>
      <c r="F22" s="75" t="s">
        <v>825</v>
      </c>
      <c r="G22" s="77">
        <f t="shared" si="0"/>
        <v>22.062293659325917</v>
      </c>
    </row>
    <row r="23" spans="1:7">
      <c r="A23" s="75">
        <v>2039</v>
      </c>
      <c r="B23" s="75">
        <v>17</v>
      </c>
      <c r="C23" s="76">
        <v>0.57062856245426519</v>
      </c>
      <c r="D23" s="76">
        <v>1.2570479660457825</v>
      </c>
      <c r="E23" s="76">
        <f t="shared" si="1"/>
        <v>21.313678565432976</v>
      </c>
      <c r="F23" s="75" t="s">
        <v>825</v>
      </c>
      <c r="G23" s="77">
        <f t="shared" si="0"/>
        <v>23.445046421976276</v>
      </c>
    </row>
    <row r="24" spans="1:7">
      <c r="A24" s="75">
        <v>2040</v>
      </c>
      <c r="B24" s="75">
        <v>18</v>
      </c>
      <c r="C24" s="76">
        <v>0.54546721092887562</v>
      </c>
      <c r="D24" s="76">
        <v>1.2624215206043277</v>
      </c>
      <c r="E24" s="76">
        <f t="shared" si="1"/>
        <v>22.576100086037304</v>
      </c>
      <c r="F24" s="75" t="s">
        <v>825</v>
      </c>
      <c r="G24" s="77">
        <f t="shared" si="0"/>
        <v>24.833710094641035</v>
      </c>
    </row>
    <row r="25" spans="1:7">
      <c r="A25" s="75">
        <v>2041</v>
      </c>
      <c r="B25" s="75">
        <v>19</v>
      </c>
      <c r="C25" s="76">
        <v>4.849040160222029</v>
      </c>
      <c r="D25" s="76">
        <v>11.790410268301173</v>
      </c>
      <c r="E25" s="76">
        <f t="shared" si="1"/>
        <v>34.366510354338473</v>
      </c>
      <c r="F25" s="75" t="s">
        <v>825</v>
      </c>
      <c r="G25" s="77">
        <f t="shared" si="0"/>
        <v>37.80316138977232</v>
      </c>
    </row>
    <row r="26" spans="1:7">
      <c r="A26" s="75">
        <v>2042</v>
      </c>
      <c r="B26" s="75">
        <v>20</v>
      </c>
      <c r="C26" s="76">
        <v>0.52913764252848172</v>
      </c>
      <c r="D26" s="76">
        <v>1.3516965052603898</v>
      </c>
      <c r="E26" s="76">
        <f t="shared" si="1"/>
        <v>35.718206859598865</v>
      </c>
      <c r="F26" s="75" t="s">
        <v>825</v>
      </c>
      <c r="G26" s="77">
        <f t="shared" si="0"/>
        <v>39.290027545558758</v>
      </c>
    </row>
    <row r="27" spans="1:7">
      <c r="A27" s="75">
        <v>2043</v>
      </c>
      <c r="B27" s="75">
        <v>21</v>
      </c>
      <c r="C27" s="76">
        <v>0.51625387367435427</v>
      </c>
      <c r="D27" s="76">
        <v>1.3855150662638094</v>
      </c>
      <c r="E27" s="76">
        <f t="shared" si="1"/>
        <v>37.103721925862672</v>
      </c>
      <c r="F27" s="75" t="s">
        <v>825</v>
      </c>
      <c r="G27" s="77">
        <f t="shared" si="0"/>
        <v>40.814094118448942</v>
      </c>
    </row>
    <row r="28" spans="1:7">
      <c r="A28" s="75">
        <v>2044</v>
      </c>
      <c r="B28" s="75">
        <v>22</v>
      </c>
      <c r="C28" s="76">
        <v>0.50441414677563146</v>
      </c>
      <c r="D28" s="76">
        <v>1.4222390019238802</v>
      </c>
      <c r="E28" s="76">
        <f t="shared" si="1"/>
        <v>38.525960927786549</v>
      </c>
      <c r="F28" s="75" t="s">
        <v>825</v>
      </c>
      <c r="G28" s="77">
        <f t="shared" si="0"/>
        <v>42.378557020565211</v>
      </c>
    </row>
    <row r="29" spans="1:7">
      <c r="A29" s="75">
        <v>2045</v>
      </c>
      <c r="B29" s="75">
        <v>23</v>
      </c>
      <c r="C29" s="76">
        <v>0.49357661508766254</v>
      </c>
      <c r="D29" s="76">
        <v>1.4621007422131342</v>
      </c>
      <c r="E29" s="76">
        <f t="shared" si="1"/>
        <v>39.988061669999681</v>
      </c>
      <c r="F29" s="75" t="s">
        <v>825</v>
      </c>
      <c r="G29" s="77">
        <f t="shared" si="0"/>
        <v>43.98686783699965</v>
      </c>
    </row>
    <row r="30" spans="1:7">
      <c r="A30" s="75">
        <v>2046</v>
      </c>
      <c r="B30" s="75">
        <v>24</v>
      </c>
      <c r="C30" s="76">
        <v>0.48358384596315634</v>
      </c>
      <c r="D30" s="76">
        <v>1.5049840721453056</v>
      </c>
      <c r="E30" s="76">
        <f t="shared" si="1"/>
        <v>41.493045742144986</v>
      </c>
      <c r="F30" s="75" t="s">
        <v>825</v>
      </c>
      <c r="G30" s="77">
        <f t="shared" si="0"/>
        <v>45.64235031635949</v>
      </c>
    </row>
    <row r="31" spans="1:7">
      <c r="A31" s="75">
        <v>2047</v>
      </c>
      <c r="B31" s="75">
        <v>25</v>
      </c>
      <c r="C31" s="76">
        <v>0.47433284487395849</v>
      </c>
      <c r="D31" s="76">
        <v>1.5508889917203941</v>
      </c>
      <c r="E31" s="76">
        <f t="shared" si="1"/>
        <v>43.043934733865377</v>
      </c>
      <c r="F31" s="75" t="s">
        <v>825</v>
      </c>
      <c r="G31" s="77">
        <f t="shared" si="0"/>
        <v>47.348328207251917</v>
      </c>
    </row>
    <row r="32" spans="1:7">
      <c r="A32" s="75">
        <v>2048</v>
      </c>
      <c r="B32" s="75">
        <v>26</v>
      </c>
      <c r="C32" s="76">
        <v>0.46562933504002751</v>
      </c>
      <c r="D32" s="76">
        <v>1.5994668559796017</v>
      </c>
      <c r="E32" s="76">
        <f t="shared" si="1"/>
        <v>44.643401589844977</v>
      </c>
      <c r="F32" s="75" t="s">
        <v>825</v>
      </c>
      <c r="G32" s="77">
        <f t="shared" si="0"/>
        <v>49.107741748829476</v>
      </c>
    </row>
    <row r="33" spans="1:9">
      <c r="A33" s="75">
        <v>2049</v>
      </c>
      <c r="B33" s="75">
        <v>27</v>
      </c>
      <c r="C33" s="76">
        <v>0.4574367633675559</v>
      </c>
      <c r="D33" s="76">
        <v>1.6508338799091946</v>
      </c>
      <c r="E33" s="76">
        <f t="shared" si="1"/>
        <v>46.29423546975417</v>
      </c>
      <c r="F33" s="75" t="s">
        <v>825</v>
      </c>
      <c r="G33" s="77">
        <f t="shared" si="0"/>
        <v>50.923659016729594</v>
      </c>
    </row>
    <row r="34" spans="1:9">
      <c r="A34" s="75">
        <v>2050</v>
      </c>
      <c r="B34" s="75">
        <v>28</v>
      </c>
      <c r="C34" s="76">
        <v>0.44965822775527636</v>
      </c>
      <c r="D34" s="76">
        <v>1.704873848522906</v>
      </c>
      <c r="E34" s="76">
        <f t="shared" si="1"/>
        <v>47.999109318277078</v>
      </c>
      <c r="F34" s="75" t="s">
        <v>825</v>
      </c>
      <c r="G34" s="77">
        <f t="shared" si="0"/>
        <v>52.799020250104789</v>
      </c>
    </row>
    <row r="35" spans="1:9">
      <c r="A35" s="75">
        <v>2051</v>
      </c>
      <c r="B35" s="75">
        <v>29</v>
      </c>
      <c r="C35" s="76">
        <v>0.44212219455623558</v>
      </c>
      <c r="D35" s="76">
        <v>1.7611219018756725</v>
      </c>
      <c r="E35" s="76">
        <f t="shared" si="1"/>
        <v>49.760231220152754</v>
      </c>
      <c r="F35" s="75" t="s">
        <v>825</v>
      </c>
      <c r="G35" s="77">
        <f t="shared" si="0"/>
        <v>54.736254342168031</v>
      </c>
    </row>
    <row r="36" spans="1:9">
      <c r="A36" s="75">
        <v>2052</v>
      </c>
      <c r="B36" s="75">
        <v>30</v>
      </c>
      <c r="C36" s="76">
        <v>0.43482442006853489</v>
      </c>
      <c r="D36" s="76">
        <v>1.8196942549537602</v>
      </c>
      <c r="E36" s="76">
        <f t="shared" si="1"/>
        <v>51.579925475106513</v>
      </c>
      <c r="F36" s="75" t="s">
        <v>825</v>
      </c>
      <c r="G36" s="77">
        <f t="shared" si="0"/>
        <v>56.737918022617173</v>
      </c>
    </row>
    <row r="37" spans="1:9">
      <c r="A37" s="75">
        <v>2053</v>
      </c>
      <c r="B37" s="75">
        <v>31</v>
      </c>
      <c r="C37" s="76">
        <v>0.42773268510355383</v>
      </c>
      <c r="D37" s="76">
        <v>1.8805909077571683</v>
      </c>
      <c r="E37" s="76">
        <f t="shared" si="1"/>
        <v>53.46051638286368</v>
      </c>
      <c r="F37" s="75" t="s">
        <v>825</v>
      </c>
      <c r="G37" s="77">
        <f t="shared" si="0"/>
        <v>58.806568021150056</v>
      </c>
    </row>
    <row r="38" spans="1:9">
      <c r="A38" s="75">
        <v>2054</v>
      </c>
      <c r="B38" s="75">
        <v>32</v>
      </c>
      <c r="C38" s="76">
        <v>0.42081860968371099</v>
      </c>
      <c r="D38" s="76">
        <v>1.9438118602858978</v>
      </c>
      <c r="E38" s="76">
        <f t="shared" si="1"/>
        <v>55.404328243149578</v>
      </c>
      <c r="F38" s="75" t="s">
        <v>825</v>
      </c>
      <c r="G38" s="77">
        <f t="shared" si="0"/>
        <v>60.94476106746454</v>
      </c>
    </row>
    <row r="39" spans="1:9">
      <c r="A39" s="75">
        <v>2055</v>
      </c>
      <c r="B39" s="75">
        <v>33</v>
      </c>
      <c r="C39" s="76">
        <v>0.41405729591411639</v>
      </c>
      <c r="D39" s="76">
        <v>2.0093571125399481</v>
      </c>
      <c r="E39" s="76">
        <f t="shared" si="1"/>
        <v>57.413685355689523</v>
      </c>
      <c r="F39" s="75" t="s">
        <v>825</v>
      </c>
      <c r="G39" s="77">
        <f t="shared" si="0"/>
        <v>63.155053891258483</v>
      </c>
    </row>
    <row r="40" spans="1:9">
      <c r="A40" s="75">
        <v>2056</v>
      </c>
      <c r="B40" s="75">
        <v>34</v>
      </c>
      <c r="C40" s="76">
        <v>0.40742699933778326</v>
      </c>
      <c r="D40" s="76">
        <v>2.0772266645193196</v>
      </c>
      <c r="E40" s="76">
        <f t="shared" si="1"/>
        <v>59.490912020208846</v>
      </c>
      <c r="F40" s="75" t="s">
        <v>825</v>
      </c>
      <c r="G40" s="77">
        <f t="shared" si="0"/>
        <v>65.440003222229734</v>
      </c>
      <c r="I40" s="6"/>
    </row>
    <row r="41" spans="1:9">
      <c r="A41" s="75">
        <v>2057</v>
      </c>
      <c r="B41" s="75">
        <v>35</v>
      </c>
      <c r="C41" s="76">
        <v>0.40097391636124552</v>
      </c>
      <c r="D41" s="76">
        <v>2.1477691611828096</v>
      </c>
      <c r="E41" s="76">
        <f t="shared" si="1"/>
        <v>61.638681181391654</v>
      </c>
      <c r="F41" s="75" t="s">
        <v>825</v>
      </c>
      <c r="G41" s="77">
        <f t="shared" si="0"/>
        <v>67.802549299530824</v>
      </c>
      <c r="I41" s="6"/>
    </row>
    <row r="42" spans="1:9">
      <c r="A42" s="75">
        <v>2058</v>
      </c>
      <c r="B42" s="75">
        <v>36</v>
      </c>
      <c r="C42" s="76">
        <v>0.39463101935969092</v>
      </c>
      <c r="D42" s="76">
        <v>2.2207521725578871</v>
      </c>
      <c r="E42" s="76">
        <f t="shared" si="1"/>
        <v>63.859433353949541</v>
      </c>
      <c r="F42" s="75" t="s">
        <v>825</v>
      </c>
      <c r="G42" s="77">
        <f t="shared" si="0"/>
        <v>70.245376689344496</v>
      </c>
      <c r="I42" s="6"/>
    </row>
    <row r="43" spans="1:9">
      <c r="A43" s="75">
        <v>2059</v>
      </c>
      <c r="B43" s="75">
        <v>37</v>
      </c>
      <c r="C43" s="76">
        <v>0.38840143306880714</v>
      </c>
      <c r="D43" s="76">
        <v>2.2962919136308177</v>
      </c>
      <c r="E43" s="76">
        <f t="shared" si="1"/>
        <v>66.155725267580365</v>
      </c>
      <c r="F43" s="75" t="s">
        <v>825</v>
      </c>
      <c r="G43" s="77">
        <f t="shared" si="0"/>
        <v>72.771297794338409</v>
      </c>
      <c r="I43" s="6"/>
    </row>
    <row r="44" spans="1:9">
      <c r="A44" s="75">
        <v>2060</v>
      </c>
      <c r="B44" s="75">
        <v>38</v>
      </c>
      <c r="C44" s="76">
        <v>0.38228683816564263</v>
      </c>
      <c r="D44" s="76">
        <v>2.3745045993878673</v>
      </c>
      <c r="E44" s="76">
        <f t="shared" si="1"/>
        <v>68.530229866968227</v>
      </c>
      <c r="F44" s="75" t="s">
        <v>825</v>
      </c>
      <c r="G44" s="77">
        <f t="shared" si="0"/>
        <v>75.383252853665056</v>
      </c>
      <c r="I44" s="6"/>
    </row>
    <row r="45" spans="1:9">
      <c r="A45" s="75">
        <v>2061</v>
      </c>
      <c r="B45" s="75">
        <v>39</v>
      </c>
      <c r="C45" s="76">
        <v>0.37630550052429435</v>
      </c>
      <c r="D45" s="76">
        <v>2.455622659801568</v>
      </c>
      <c r="E45" s="76">
        <f t="shared" si="1"/>
        <v>70.98585252676979</v>
      </c>
      <c r="F45" s="75" t="s">
        <v>825</v>
      </c>
      <c r="G45" s="77">
        <f t="shared" si="0"/>
        <v>78.084437779446773</v>
      </c>
      <c r="I45" s="6"/>
    </row>
    <row r="46" spans="1:9">
      <c r="A46" s="75">
        <v>2062</v>
      </c>
      <c r="B46" s="75">
        <v>40</v>
      </c>
      <c r="C46" s="76">
        <v>0.37040342178239011</v>
      </c>
      <c r="D46" s="76">
        <v>2.5394136648993872</v>
      </c>
      <c r="E46" s="76">
        <f t="shared" si="1"/>
        <v>73.525266191669175</v>
      </c>
      <c r="F46" s="75" t="s">
        <v>825</v>
      </c>
      <c r="G46" s="77">
        <f t="shared" si="0"/>
        <v>80.877792810836098</v>
      </c>
      <c r="I46" s="6"/>
    </row>
    <row r="47" spans="1:9">
      <c r="A47" s="75">
        <v>2063</v>
      </c>
      <c r="B47" s="75">
        <v>41</v>
      </c>
      <c r="C47" s="76">
        <v>0.36463260378821105</v>
      </c>
      <c r="D47" s="76">
        <v>2.6263424746263908</v>
      </c>
      <c r="E47" s="76">
        <f t="shared" si="1"/>
        <v>76.151608666295573</v>
      </c>
      <c r="F47" s="75" t="s">
        <v>825</v>
      </c>
      <c r="G47" s="77">
        <f t="shared" si="0"/>
        <v>83.766769532925139</v>
      </c>
      <c r="I47" s="6"/>
    </row>
    <row r="48" spans="1:9">
      <c r="A48" s="75">
        <v>2064</v>
      </c>
      <c r="B48" s="75">
        <v>42</v>
      </c>
      <c r="C48" s="76">
        <v>0.35894239619583207</v>
      </c>
      <c r="D48" s="76">
        <v>2.7161766590100447</v>
      </c>
      <c r="E48" s="76">
        <f t="shared" si="1"/>
        <v>78.867785325305618</v>
      </c>
      <c r="F48" s="75" t="s">
        <v>825</v>
      </c>
      <c r="G48" s="77">
        <f t="shared" si="0"/>
        <v>86.754563857836189</v>
      </c>
      <c r="I48" s="6"/>
    </row>
    <row r="49" spans="1:9">
      <c r="A49" s="75">
        <v>2065</v>
      </c>
      <c r="B49" s="75">
        <v>43</v>
      </c>
      <c r="C49" s="76">
        <v>0.35334916484671014</v>
      </c>
      <c r="D49" s="76">
        <v>2.809148648022882</v>
      </c>
      <c r="E49" s="76">
        <f t="shared" si="1"/>
        <v>81.676933973328502</v>
      </c>
      <c r="F49" s="75" t="s">
        <v>825</v>
      </c>
      <c r="G49" s="77">
        <f t="shared" si="0"/>
        <v>89.844627370661357</v>
      </c>
      <c r="I49" s="6"/>
    </row>
    <row r="50" spans="1:9">
      <c r="A50" s="75">
        <v>2066</v>
      </c>
      <c r="B50" s="75">
        <v>44</v>
      </c>
      <c r="C50" s="76">
        <v>0.34785167248966942</v>
      </c>
      <c r="D50" s="76">
        <v>2.9053746566511687</v>
      </c>
      <c r="E50" s="76">
        <f t="shared" si="1"/>
        <v>84.582308629979664</v>
      </c>
      <c r="F50" s="75" t="s">
        <v>825</v>
      </c>
      <c r="G50" s="77">
        <f t="shared" si="0"/>
        <v>93.040539492977643</v>
      </c>
      <c r="I50" s="6"/>
    </row>
    <row r="51" spans="1:9">
      <c r="A51" s="75">
        <v>2067</v>
      </c>
      <c r="B51" s="75">
        <v>45</v>
      </c>
      <c r="C51" s="76">
        <v>0.34243490743928773</v>
      </c>
      <c r="D51" s="76">
        <v>3.0048546848949047</v>
      </c>
      <c r="E51" s="76">
        <f t="shared" si="1"/>
        <v>87.587163314874573</v>
      </c>
      <c r="F51" s="75" t="s">
        <v>825</v>
      </c>
      <c r="G51" s="77">
        <f t="shared" si="0"/>
        <v>96.345879646362036</v>
      </c>
      <c r="I51" s="6"/>
    </row>
    <row r="52" spans="1:9">
      <c r="A52" s="75">
        <v>2068</v>
      </c>
      <c r="B52" s="75">
        <v>46</v>
      </c>
      <c r="C52" s="76">
        <f>C51</f>
        <v>0.34243490743928773</v>
      </c>
      <c r="D52" s="76">
        <f>D51</f>
        <v>3.0048546848949047</v>
      </c>
      <c r="E52" s="76">
        <f t="shared" si="1"/>
        <v>90.592017999769482</v>
      </c>
      <c r="F52" s="75" t="s">
        <v>825</v>
      </c>
      <c r="G52" s="77">
        <f t="shared" si="0"/>
        <v>99.651219799746443</v>
      </c>
      <c r="I52" s="6"/>
    </row>
    <row r="53" spans="1:9">
      <c r="A53" s="75">
        <v>2069</v>
      </c>
      <c r="B53" s="75">
        <v>47</v>
      </c>
      <c r="C53" s="76">
        <f t="shared" ref="C53:C56" si="2">C52</f>
        <v>0.34243490743928773</v>
      </c>
      <c r="D53" s="76">
        <f t="shared" ref="D53:D56" si="3">D52</f>
        <v>3.0048546848949047</v>
      </c>
      <c r="E53" s="76">
        <f t="shared" si="1"/>
        <v>93.59687268466439</v>
      </c>
      <c r="F53" s="75" t="s">
        <v>825</v>
      </c>
      <c r="G53" s="77">
        <f t="shared" si="0"/>
        <v>102.95655995313084</v>
      </c>
      <c r="I53" s="6"/>
    </row>
    <row r="54" spans="1:9">
      <c r="A54" s="75">
        <v>2070</v>
      </c>
      <c r="B54" s="75">
        <v>48</v>
      </c>
      <c r="C54" s="76">
        <f t="shared" si="2"/>
        <v>0.34243490743928773</v>
      </c>
      <c r="D54" s="76">
        <f t="shared" si="3"/>
        <v>3.0048546848949047</v>
      </c>
      <c r="E54" s="76">
        <f t="shared" si="1"/>
        <v>96.601727369559299</v>
      </c>
      <c r="F54" s="75" t="s">
        <v>825</v>
      </c>
      <c r="G54" s="77">
        <f>E54*(1+F54)</f>
        <v>106.26190010651524</v>
      </c>
      <c r="I54" s="6"/>
    </row>
    <row r="55" spans="1:9">
      <c r="A55" s="75">
        <v>2071</v>
      </c>
      <c r="B55" s="75">
        <v>49</v>
      </c>
      <c r="C55" s="76">
        <f t="shared" si="2"/>
        <v>0.34243490743928773</v>
      </c>
      <c r="D55" s="76">
        <f t="shared" si="3"/>
        <v>3.0048546848949047</v>
      </c>
      <c r="E55" s="76">
        <f>D55+E54</f>
        <v>99.606582054454208</v>
      </c>
      <c r="F55" s="193">
        <v>0.1</v>
      </c>
      <c r="G55" s="77">
        <f>E55*(1+F55)</f>
        <v>109.56724025989963</v>
      </c>
      <c r="I55" s="6"/>
    </row>
    <row r="56" spans="1:9">
      <c r="A56" s="75">
        <v>2072</v>
      </c>
      <c r="B56" s="75">
        <v>50</v>
      </c>
      <c r="C56" s="76">
        <f t="shared" si="2"/>
        <v>0.34243490743928773</v>
      </c>
      <c r="D56" s="76">
        <f t="shared" si="3"/>
        <v>3.0048546848949047</v>
      </c>
      <c r="E56" s="76">
        <f t="shared" si="1"/>
        <v>102.61143673934912</v>
      </c>
      <c r="F56" s="75" t="s">
        <v>825</v>
      </c>
      <c r="G56" s="77">
        <f t="shared" si="0"/>
        <v>112.87258041328404</v>
      </c>
      <c r="I56" s="6"/>
    </row>
    <row r="57" spans="1:9">
      <c r="I57" s="6"/>
    </row>
    <row r="58" spans="1:9">
      <c r="A58" s="7" t="s">
        <v>15</v>
      </c>
      <c r="E58" s="8">
        <v>5.0599999999999999E-2</v>
      </c>
      <c r="F58" s="8"/>
      <c r="G58" s="8"/>
      <c r="I58" s="6"/>
    </row>
    <row r="59" spans="1:9">
      <c r="C59" s="4" t="s">
        <v>16</v>
      </c>
      <c r="E59" s="9">
        <v>5.0599999999999999E-2</v>
      </c>
      <c r="I59" s="6"/>
    </row>
    <row r="60" spans="1:9">
      <c r="C60" s="4" t="s">
        <v>17</v>
      </c>
      <c r="E60" s="10">
        <v>4.1700000000000001E-2</v>
      </c>
    </row>
    <row r="61" spans="1:9">
      <c r="C61" s="4" t="s">
        <v>18</v>
      </c>
      <c r="E61" s="11">
        <v>0.02</v>
      </c>
      <c r="F61" s="12" t="s">
        <v>19</v>
      </c>
      <c r="G61" s="12"/>
    </row>
  </sheetData>
  <mergeCells count="4">
    <mergeCell ref="A1:H1"/>
    <mergeCell ref="A2:H2"/>
    <mergeCell ref="A3:H3"/>
    <mergeCell ref="A4:H4"/>
  </mergeCells>
  <phoneticPr fontId="7" type="noConversion"/>
  <pageMargins left="0.75" right="0.75" top="1" bottom="1"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D1F3-BF46-41FD-9FC4-42EF9EEC2D83}">
  <dimension ref="A1:AO350"/>
  <sheetViews>
    <sheetView topLeftCell="B1" zoomScaleNormal="100" workbookViewId="0">
      <selection activeCell="B23" sqref="B23"/>
    </sheetView>
  </sheetViews>
  <sheetFormatPr defaultRowHeight="15"/>
  <cols>
    <col min="1" max="1" width="51" style="82" bestFit="1" customWidth="1"/>
    <col min="2" max="2" width="27.6640625" style="82" bestFit="1" customWidth="1"/>
    <col min="3" max="3" width="16" style="82" bestFit="1" customWidth="1"/>
    <col min="4" max="4" width="19.83203125" style="82" bestFit="1" customWidth="1"/>
    <col min="5" max="5" width="24.83203125" style="82" bestFit="1" customWidth="1"/>
    <col min="6" max="6" width="24" style="82" bestFit="1" customWidth="1"/>
    <col min="7" max="7" width="64.6640625" style="82" bestFit="1" customWidth="1"/>
    <col min="8" max="8" width="20.33203125" style="83" bestFit="1" customWidth="1"/>
    <col min="9" max="9" width="21.83203125" style="84" bestFit="1" customWidth="1"/>
    <col min="10" max="10" width="19" style="84" bestFit="1" customWidth="1"/>
    <col min="11" max="11" width="72.5" style="82" bestFit="1" customWidth="1"/>
    <col min="12" max="12" width="32.1640625" style="85" bestFit="1" customWidth="1"/>
    <col min="13" max="13" width="25.6640625" style="86" bestFit="1" customWidth="1"/>
    <col min="14" max="14" width="12.5" style="82" bestFit="1" customWidth="1"/>
    <col min="15" max="15" width="76.1640625" style="82" bestFit="1" customWidth="1"/>
    <col min="16" max="16" width="50.1640625" style="82" bestFit="1" customWidth="1"/>
    <col min="17" max="17" width="18.33203125" style="84" bestFit="1" customWidth="1"/>
    <col min="18" max="18" width="41.33203125" style="82" bestFit="1" customWidth="1"/>
    <col min="19" max="19" width="15.5" style="86" bestFit="1" customWidth="1"/>
    <col min="20" max="20" width="103.83203125" style="82" bestFit="1" customWidth="1"/>
    <col min="21" max="21" width="20.83203125" style="86" bestFit="1" customWidth="1"/>
    <col min="22" max="22" width="24.83203125" style="86" bestFit="1" customWidth="1"/>
    <col min="23" max="23" width="20.33203125" style="86" bestFit="1" customWidth="1"/>
    <col min="24" max="24" width="17" style="86" bestFit="1" customWidth="1"/>
    <col min="25" max="25" width="28.5" style="86" bestFit="1" customWidth="1"/>
    <col min="26" max="26" width="24.5" style="86" bestFit="1" customWidth="1"/>
    <col min="27" max="27" width="52" style="82" bestFit="1" customWidth="1"/>
    <col min="28" max="28" width="43.1640625" style="82" bestFit="1" customWidth="1"/>
    <col min="29" max="29" width="39.33203125" style="82" bestFit="1" customWidth="1"/>
    <col min="30" max="30" width="45.5" style="82" bestFit="1" customWidth="1"/>
    <col min="31" max="31" width="53.1640625" style="82" bestFit="1" customWidth="1"/>
    <col min="32" max="32" width="32.1640625" style="82" bestFit="1" customWidth="1"/>
    <col min="33" max="33" width="31.33203125" style="82" bestFit="1" customWidth="1"/>
    <col min="34" max="34" width="35.6640625" style="82" bestFit="1" customWidth="1"/>
    <col min="35" max="35" width="35.5" style="82" bestFit="1" customWidth="1"/>
    <col min="36" max="36" width="33.33203125" style="82" bestFit="1" customWidth="1"/>
    <col min="37" max="37" width="43.83203125" style="84" bestFit="1" customWidth="1"/>
    <col min="38" max="38" width="44.1640625" style="82" bestFit="1" customWidth="1"/>
    <col min="39" max="39" width="49.1640625" style="82" bestFit="1" customWidth="1"/>
    <col min="40" max="40" width="24.6640625" style="86" bestFit="1" customWidth="1"/>
    <col min="41" max="41" width="21.33203125" style="80" customWidth="1"/>
    <col min="42" max="16384" width="9.33203125" style="80"/>
  </cols>
  <sheetData>
    <row r="1" spans="1:41" s="88" customFormat="1">
      <c r="A1" s="87" t="s">
        <v>127</v>
      </c>
      <c r="B1" s="87" t="s">
        <v>128</v>
      </c>
      <c r="C1" s="87" t="s">
        <v>129</v>
      </c>
      <c r="D1" s="87" t="s">
        <v>130</v>
      </c>
      <c r="E1" s="87" t="s">
        <v>131</v>
      </c>
      <c r="F1" s="87" t="s">
        <v>132</v>
      </c>
      <c r="G1" s="87" t="s">
        <v>133</v>
      </c>
      <c r="H1" s="87" t="s">
        <v>134</v>
      </c>
      <c r="I1" s="87" t="s">
        <v>135</v>
      </c>
      <c r="J1" s="87" t="s">
        <v>136</v>
      </c>
      <c r="K1" s="87" t="s">
        <v>137</v>
      </c>
      <c r="L1" s="87" t="s">
        <v>138</v>
      </c>
      <c r="M1" s="87" t="s">
        <v>139</v>
      </c>
      <c r="N1" s="87" t="s">
        <v>140</v>
      </c>
      <c r="O1" s="87" t="s">
        <v>141</v>
      </c>
      <c r="P1" s="87" t="s">
        <v>142</v>
      </c>
      <c r="Q1" s="87" t="s">
        <v>143</v>
      </c>
      <c r="R1" s="87" t="s">
        <v>144</v>
      </c>
      <c r="S1" s="87" t="s">
        <v>145</v>
      </c>
      <c r="T1" s="87" t="s">
        <v>146</v>
      </c>
      <c r="U1" s="87" t="s">
        <v>147</v>
      </c>
      <c r="V1" s="87" t="s">
        <v>148</v>
      </c>
      <c r="W1" s="87" t="s">
        <v>149</v>
      </c>
      <c r="X1" s="87" t="s">
        <v>150</v>
      </c>
      <c r="Y1" s="87" t="s">
        <v>151</v>
      </c>
      <c r="Z1" s="87" t="s">
        <v>152</v>
      </c>
      <c r="AA1" s="87" t="s">
        <v>153</v>
      </c>
      <c r="AB1" s="87" t="s">
        <v>154</v>
      </c>
      <c r="AC1" s="87" t="s">
        <v>155</v>
      </c>
      <c r="AD1" s="87" t="s">
        <v>156</v>
      </c>
      <c r="AE1" s="87" t="s">
        <v>157</v>
      </c>
      <c r="AF1" s="87" t="s">
        <v>158</v>
      </c>
      <c r="AG1" s="87" t="s">
        <v>159</v>
      </c>
      <c r="AH1" s="87" t="s">
        <v>160</v>
      </c>
      <c r="AI1" s="87" t="s">
        <v>161</v>
      </c>
      <c r="AJ1" s="87" t="s">
        <v>162</v>
      </c>
      <c r="AK1" s="87" t="s">
        <v>163</v>
      </c>
      <c r="AL1" s="87" t="s">
        <v>164</v>
      </c>
      <c r="AM1" s="87" t="s">
        <v>165</v>
      </c>
      <c r="AN1" s="87" t="s">
        <v>166</v>
      </c>
    </row>
    <row r="2" spans="1:41">
      <c r="A2" s="81" t="s">
        <v>32</v>
      </c>
      <c r="B2" s="81" t="s">
        <v>198</v>
      </c>
      <c r="C2" s="81" t="s">
        <v>199</v>
      </c>
      <c r="D2" s="81" t="s">
        <v>169</v>
      </c>
      <c r="E2" s="81" t="s">
        <v>200</v>
      </c>
      <c r="F2" s="81" t="s">
        <v>200</v>
      </c>
      <c r="G2" s="81" t="s">
        <v>33</v>
      </c>
      <c r="H2" s="81">
        <v>0</v>
      </c>
      <c r="I2" s="81"/>
      <c r="J2" s="81"/>
      <c r="K2" s="81" t="s">
        <v>34</v>
      </c>
      <c r="L2" s="81"/>
      <c r="M2" s="81">
        <v>500</v>
      </c>
      <c r="N2" s="81" t="s">
        <v>21</v>
      </c>
      <c r="O2" s="81" t="s">
        <v>173</v>
      </c>
      <c r="P2" s="81" t="s">
        <v>201</v>
      </c>
      <c r="Q2" s="81">
        <v>44985</v>
      </c>
      <c r="R2" s="81" t="s">
        <v>173</v>
      </c>
      <c r="S2" s="81"/>
      <c r="T2" s="81" t="s">
        <v>173</v>
      </c>
      <c r="U2" s="81"/>
      <c r="V2" s="81">
        <v>30</v>
      </c>
      <c r="W2" s="81">
        <v>1</v>
      </c>
      <c r="X2" s="81">
        <v>0</v>
      </c>
      <c r="Y2" s="81">
        <v>0</v>
      </c>
      <c r="Z2" s="81">
        <v>500</v>
      </c>
      <c r="AA2" s="81" t="s">
        <v>313</v>
      </c>
      <c r="AB2" s="81" t="s">
        <v>174</v>
      </c>
      <c r="AC2" s="81" t="s">
        <v>314</v>
      </c>
      <c r="AD2" s="81" t="s">
        <v>313</v>
      </c>
      <c r="AE2" s="81" t="s">
        <v>315</v>
      </c>
      <c r="AF2" s="81" t="s">
        <v>175</v>
      </c>
      <c r="AG2" s="81" t="s">
        <v>176</v>
      </c>
      <c r="AH2" s="81" t="s">
        <v>175</v>
      </c>
      <c r="AI2" s="81" t="s">
        <v>175</v>
      </c>
      <c r="AJ2" s="81" t="s">
        <v>177</v>
      </c>
      <c r="AK2" s="81">
        <v>45072.125</v>
      </c>
      <c r="AL2" s="81" t="s">
        <v>178</v>
      </c>
      <c r="AM2" s="81" t="s">
        <v>179</v>
      </c>
      <c r="AN2" s="81">
        <v>0</v>
      </c>
      <c r="AO2" s="80">
        <f>(L2*W2)-Y2</f>
        <v>0</v>
      </c>
    </row>
    <row r="3" spans="1:41">
      <c r="A3" s="81" t="s">
        <v>32</v>
      </c>
      <c r="B3" s="81" t="s">
        <v>198</v>
      </c>
      <c r="C3" s="81" t="s">
        <v>199</v>
      </c>
      <c r="D3" s="81" t="s">
        <v>169</v>
      </c>
      <c r="E3" s="81" t="s">
        <v>200</v>
      </c>
      <c r="F3" s="81" t="s">
        <v>200</v>
      </c>
      <c r="G3" s="81" t="s">
        <v>33</v>
      </c>
      <c r="H3" s="81">
        <v>0</v>
      </c>
      <c r="I3" s="81"/>
      <c r="J3" s="81"/>
      <c r="K3" s="81" t="s">
        <v>34</v>
      </c>
      <c r="L3" s="81"/>
      <c r="M3" s="81">
        <v>500</v>
      </c>
      <c r="N3" s="81" t="s">
        <v>21</v>
      </c>
      <c r="O3" s="81" t="s">
        <v>173</v>
      </c>
      <c r="P3" s="81" t="s">
        <v>269</v>
      </c>
      <c r="Q3" s="81">
        <v>45030</v>
      </c>
      <c r="R3" s="81" t="s">
        <v>173</v>
      </c>
      <c r="S3" s="81"/>
      <c r="T3" s="81" t="s">
        <v>173</v>
      </c>
      <c r="U3" s="81">
        <v>0</v>
      </c>
      <c r="V3" s="81">
        <v>49</v>
      </c>
      <c r="W3" s="81">
        <v>1</v>
      </c>
      <c r="X3" s="81">
        <v>0</v>
      </c>
      <c r="Y3" s="81">
        <v>0</v>
      </c>
      <c r="Z3" s="81">
        <v>500</v>
      </c>
      <c r="AA3" s="81" t="s">
        <v>270</v>
      </c>
      <c r="AB3" s="81" t="s">
        <v>188</v>
      </c>
      <c r="AC3" s="81" t="s">
        <v>316</v>
      </c>
      <c r="AD3" s="81" t="s">
        <v>270</v>
      </c>
      <c r="AE3" s="81" t="s">
        <v>271</v>
      </c>
      <c r="AF3" s="81" t="s">
        <v>225</v>
      </c>
      <c r="AG3" s="81" t="s">
        <v>240</v>
      </c>
      <c r="AH3" s="81" t="s">
        <v>226</v>
      </c>
      <c r="AI3" s="81" t="s">
        <v>192</v>
      </c>
      <c r="AJ3" s="81" t="s">
        <v>186</v>
      </c>
      <c r="AK3" s="81">
        <v>45072.125</v>
      </c>
      <c r="AL3" s="81" t="s">
        <v>178</v>
      </c>
      <c r="AM3" s="81" t="s">
        <v>179</v>
      </c>
      <c r="AN3" s="81">
        <v>0</v>
      </c>
      <c r="AO3" s="80">
        <f t="shared" ref="AO3:AO66" si="0">(L3*W3)-Y3</f>
        <v>0</v>
      </c>
    </row>
    <row r="4" spans="1:41">
      <c r="A4" s="81" t="s">
        <v>32</v>
      </c>
      <c r="B4" s="81" t="s">
        <v>198</v>
      </c>
      <c r="C4" s="81" t="s">
        <v>199</v>
      </c>
      <c r="D4" s="81" t="s">
        <v>169</v>
      </c>
      <c r="E4" s="81" t="s">
        <v>200</v>
      </c>
      <c r="F4" s="81" t="s">
        <v>200</v>
      </c>
      <c r="G4" s="81" t="s">
        <v>33</v>
      </c>
      <c r="H4" s="81">
        <v>0</v>
      </c>
      <c r="I4" s="81"/>
      <c r="J4" s="81"/>
      <c r="K4" s="81" t="s">
        <v>34</v>
      </c>
      <c r="L4" s="81"/>
      <c r="M4" s="81">
        <v>500</v>
      </c>
      <c r="N4" s="81" t="s">
        <v>21</v>
      </c>
      <c r="O4" s="81" t="s">
        <v>173</v>
      </c>
      <c r="P4" s="81" t="s">
        <v>201</v>
      </c>
      <c r="Q4" s="81">
        <v>44875</v>
      </c>
      <c r="R4" s="81" t="s">
        <v>173</v>
      </c>
      <c r="S4" s="81"/>
      <c r="T4" s="81" t="s">
        <v>173</v>
      </c>
      <c r="U4" s="81"/>
      <c r="V4" s="81"/>
      <c r="W4" s="81">
        <v>1</v>
      </c>
      <c r="X4" s="81">
        <v>0</v>
      </c>
      <c r="Y4" s="81">
        <v>0</v>
      </c>
      <c r="Z4" s="81">
        <v>500</v>
      </c>
      <c r="AA4" s="81" t="s">
        <v>279</v>
      </c>
      <c r="AB4" s="81" t="s">
        <v>174</v>
      </c>
      <c r="AC4" s="81" t="s">
        <v>317</v>
      </c>
      <c r="AD4" s="81" t="s">
        <v>318</v>
      </c>
      <c r="AE4" s="81" t="s">
        <v>319</v>
      </c>
      <c r="AF4" s="81" t="s">
        <v>175</v>
      </c>
      <c r="AG4" s="81" t="s">
        <v>281</v>
      </c>
      <c r="AH4" s="81" t="s">
        <v>175</v>
      </c>
      <c r="AI4" s="81" t="s">
        <v>175</v>
      </c>
      <c r="AJ4" s="81" t="s">
        <v>177</v>
      </c>
      <c r="AK4" s="81">
        <v>45016.125</v>
      </c>
      <c r="AL4" s="81" t="s">
        <v>178</v>
      </c>
      <c r="AM4" s="81" t="s">
        <v>179</v>
      </c>
      <c r="AN4" s="81">
        <v>0</v>
      </c>
      <c r="AO4" s="80">
        <f t="shared" si="0"/>
        <v>0</v>
      </c>
    </row>
    <row r="5" spans="1:41">
      <c r="A5" s="81" t="s">
        <v>38</v>
      </c>
      <c r="B5" s="81" t="s">
        <v>167</v>
      </c>
      <c r="C5" s="81" t="s">
        <v>168</v>
      </c>
      <c r="D5" s="81" t="s">
        <v>169</v>
      </c>
      <c r="E5" s="81" t="s">
        <v>170</v>
      </c>
      <c r="F5" s="81" t="s">
        <v>170</v>
      </c>
      <c r="G5" s="81" t="s">
        <v>39</v>
      </c>
      <c r="H5" s="81">
        <v>0</v>
      </c>
      <c r="I5" s="81">
        <v>43515</v>
      </c>
      <c r="J5" s="81"/>
      <c r="K5" s="81" t="s">
        <v>40</v>
      </c>
      <c r="L5" s="81"/>
      <c r="M5" s="81">
        <v>300</v>
      </c>
      <c r="N5" s="81" t="s">
        <v>21</v>
      </c>
      <c r="O5" s="81" t="s">
        <v>171</v>
      </c>
      <c r="P5" s="81" t="s">
        <v>172</v>
      </c>
      <c r="Q5" s="81">
        <v>44970</v>
      </c>
      <c r="R5" s="81" t="s">
        <v>320</v>
      </c>
      <c r="S5" s="81"/>
      <c r="T5" s="81" t="s">
        <v>173</v>
      </c>
      <c r="U5" s="81"/>
      <c r="V5" s="81"/>
      <c r="W5" s="81">
        <v>1</v>
      </c>
      <c r="X5" s="81">
        <v>0</v>
      </c>
      <c r="Y5" s="81">
        <v>0</v>
      </c>
      <c r="Z5" s="81">
        <v>300</v>
      </c>
      <c r="AA5" s="81" t="s">
        <v>321</v>
      </c>
      <c r="AB5" s="81" t="s">
        <v>202</v>
      </c>
      <c r="AC5" s="81" t="s">
        <v>322</v>
      </c>
      <c r="AD5" s="81" t="s">
        <v>323</v>
      </c>
      <c r="AE5" s="81" t="s">
        <v>324</v>
      </c>
      <c r="AF5" s="81" t="s">
        <v>325</v>
      </c>
      <c r="AG5" s="81" t="s">
        <v>326</v>
      </c>
      <c r="AH5" s="81" t="s">
        <v>327</v>
      </c>
      <c r="AI5" s="81" t="s">
        <v>222</v>
      </c>
      <c r="AJ5" s="81" t="s">
        <v>205</v>
      </c>
      <c r="AK5" s="81">
        <v>45048.125</v>
      </c>
      <c r="AL5" s="81" t="s">
        <v>178</v>
      </c>
      <c r="AM5" s="81" t="s">
        <v>179</v>
      </c>
      <c r="AN5" s="81">
        <v>0</v>
      </c>
      <c r="AO5" s="80">
        <f t="shared" si="0"/>
        <v>0</v>
      </c>
    </row>
    <row r="6" spans="1:41">
      <c r="A6" s="81" t="s">
        <v>35</v>
      </c>
      <c r="B6" s="81" t="s">
        <v>189</v>
      </c>
      <c r="C6" s="81" t="s">
        <v>168</v>
      </c>
      <c r="D6" s="81" t="s">
        <v>169</v>
      </c>
      <c r="E6" s="81" t="s">
        <v>190</v>
      </c>
      <c r="F6" s="81" t="s">
        <v>190</v>
      </c>
      <c r="G6" s="81" t="s">
        <v>36</v>
      </c>
      <c r="H6" s="81">
        <v>0</v>
      </c>
      <c r="I6" s="81">
        <v>43515</v>
      </c>
      <c r="J6" s="81"/>
      <c r="K6" s="81" t="s">
        <v>37</v>
      </c>
      <c r="L6" s="81"/>
      <c r="M6" s="81">
        <v>500</v>
      </c>
      <c r="N6" s="81" t="s">
        <v>21</v>
      </c>
      <c r="O6" s="81" t="s">
        <v>171</v>
      </c>
      <c r="P6" s="81" t="s">
        <v>172</v>
      </c>
      <c r="Q6" s="81">
        <v>44724</v>
      </c>
      <c r="R6" s="81" t="s">
        <v>328</v>
      </c>
      <c r="S6" s="81"/>
      <c r="T6" s="81" t="s">
        <v>173</v>
      </c>
      <c r="U6" s="81"/>
      <c r="V6" s="81"/>
      <c r="W6" s="81">
        <v>1</v>
      </c>
      <c r="X6" s="81">
        <v>0</v>
      </c>
      <c r="Y6" s="81">
        <v>0</v>
      </c>
      <c r="Z6" s="81">
        <v>500</v>
      </c>
      <c r="AA6" s="81" t="s">
        <v>329</v>
      </c>
      <c r="AB6" s="81" t="s">
        <v>202</v>
      </c>
      <c r="AC6" s="81" t="s">
        <v>330</v>
      </c>
      <c r="AD6" s="81" t="s">
        <v>331</v>
      </c>
      <c r="AE6" s="81" t="s">
        <v>332</v>
      </c>
      <c r="AF6" s="81" t="s">
        <v>222</v>
      </c>
      <c r="AG6" s="81" t="s">
        <v>333</v>
      </c>
      <c r="AH6" s="81" t="s">
        <v>243</v>
      </c>
      <c r="AI6" s="81" t="s">
        <v>222</v>
      </c>
      <c r="AJ6" s="81" t="s">
        <v>205</v>
      </c>
      <c r="AK6" s="81">
        <v>45048.125</v>
      </c>
      <c r="AL6" s="81" t="s">
        <v>207</v>
      </c>
      <c r="AM6" s="81" t="s">
        <v>179</v>
      </c>
      <c r="AN6" s="81">
        <v>0</v>
      </c>
      <c r="AO6" s="80">
        <f t="shared" si="0"/>
        <v>0</v>
      </c>
    </row>
    <row r="7" spans="1:41">
      <c r="A7" s="81" t="s">
        <v>304</v>
      </c>
      <c r="B7" s="81" t="s">
        <v>303</v>
      </c>
      <c r="C7" s="81" t="s">
        <v>168</v>
      </c>
      <c r="D7" s="81" t="s">
        <v>169</v>
      </c>
      <c r="E7" s="81" t="s">
        <v>334</v>
      </c>
      <c r="F7" s="81" t="s">
        <v>334</v>
      </c>
      <c r="G7" s="81" t="s">
        <v>305</v>
      </c>
      <c r="H7" s="81">
        <v>0</v>
      </c>
      <c r="I7" s="81">
        <v>44652</v>
      </c>
      <c r="J7" s="81"/>
      <c r="K7" s="81" t="s">
        <v>306</v>
      </c>
      <c r="L7" s="81"/>
      <c r="M7" s="81">
        <v>0</v>
      </c>
      <c r="N7" s="81" t="s">
        <v>21</v>
      </c>
      <c r="O7" s="81" t="s">
        <v>173</v>
      </c>
      <c r="P7" s="81" t="s">
        <v>335</v>
      </c>
      <c r="Q7" s="81">
        <v>44907</v>
      </c>
      <c r="R7" s="81" t="s">
        <v>173</v>
      </c>
      <c r="S7" s="81"/>
      <c r="T7" s="81" t="s">
        <v>173</v>
      </c>
      <c r="U7" s="81"/>
      <c r="V7" s="81"/>
      <c r="W7" s="81">
        <v>1</v>
      </c>
      <c r="X7" s="81">
        <v>0</v>
      </c>
      <c r="Y7" s="81">
        <v>0</v>
      </c>
      <c r="Z7" s="81">
        <v>4350</v>
      </c>
      <c r="AA7" s="81" t="s">
        <v>336</v>
      </c>
      <c r="AB7" s="81" t="s">
        <v>188</v>
      </c>
      <c r="AC7" s="81" t="s">
        <v>337</v>
      </c>
      <c r="AD7" s="81" t="s">
        <v>336</v>
      </c>
      <c r="AE7" s="81" t="s">
        <v>338</v>
      </c>
      <c r="AF7" s="81" t="s">
        <v>227</v>
      </c>
      <c r="AG7" s="81" t="s">
        <v>339</v>
      </c>
      <c r="AH7" s="81" t="s">
        <v>191</v>
      </c>
      <c r="AI7" s="81" t="s">
        <v>192</v>
      </c>
      <c r="AJ7" s="81" t="s">
        <v>186</v>
      </c>
      <c r="AK7" s="81">
        <v>44957.125</v>
      </c>
      <c r="AL7" s="81" t="s">
        <v>178</v>
      </c>
      <c r="AM7" s="81" t="s">
        <v>179</v>
      </c>
      <c r="AN7" s="81">
        <v>0</v>
      </c>
      <c r="AO7" s="80">
        <f t="shared" si="0"/>
        <v>0</v>
      </c>
    </row>
    <row r="8" spans="1:41">
      <c r="A8" s="81" t="s">
        <v>54</v>
      </c>
      <c r="B8" s="81" t="s">
        <v>274</v>
      </c>
      <c r="C8" s="81" t="s">
        <v>168</v>
      </c>
      <c r="D8" s="81" t="s">
        <v>169</v>
      </c>
      <c r="E8" s="81" t="s">
        <v>228</v>
      </c>
      <c r="F8" s="81" t="s">
        <v>229</v>
      </c>
      <c r="G8" s="81" t="s">
        <v>8</v>
      </c>
      <c r="H8" s="81">
        <v>10</v>
      </c>
      <c r="I8" s="81">
        <v>44652</v>
      </c>
      <c r="J8" s="81"/>
      <c r="K8" s="81" t="s">
        <v>12</v>
      </c>
      <c r="L8" s="81">
        <v>3.7987000000000002</v>
      </c>
      <c r="M8" s="81">
        <v>3</v>
      </c>
      <c r="N8" s="81" t="s">
        <v>55</v>
      </c>
      <c r="O8" s="81" t="s">
        <v>275</v>
      </c>
      <c r="P8" s="81" t="s">
        <v>340</v>
      </c>
      <c r="Q8" s="81">
        <v>44742</v>
      </c>
      <c r="R8" s="81" t="s">
        <v>341</v>
      </c>
      <c r="S8" s="81">
        <v>95</v>
      </c>
      <c r="T8" s="81" t="s">
        <v>287</v>
      </c>
      <c r="U8" s="81"/>
      <c r="V8" s="81"/>
      <c r="W8" s="81">
        <v>1000</v>
      </c>
      <c r="X8" s="81">
        <v>42594.42</v>
      </c>
      <c r="Y8" s="81">
        <v>3798.7</v>
      </c>
      <c r="Z8" s="81">
        <v>3000</v>
      </c>
      <c r="AA8" s="81" t="s">
        <v>329</v>
      </c>
      <c r="AB8" s="81" t="s">
        <v>202</v>
      </c>
      <c r="AC8" s="81" t="s">
        <v>342</v>
      </c>
      <c r="AD8" s="81" t="s">
        <v>331</v>
      </c>
      <c r="AE8" s="81" t="s">
        <v>332</v>
      </c>
      <c r="AF8" s="81" t="s">
        <v>222</v>
      </c>
      <c r="AG8" s="81" t="s">
        <v>333</v>
      </c>
      <c r="AH8" s="81" t="s">
        <v>243</v>
      </c>
      <c r="AI8" s="81" t="s">
        <v>222</v>
      </c>
      <c r="AJ8" s="81" t="s">
        <v>205</v>
      </c>
      <c r="AK8" s="81">
        <v>45055.125</v>
      </c>
      <c r="AL8" s="81" t="s">
        <v>207</v>
      </c>
      <c r="AM8" s="81" t="s">
        <v>179</v>
      </c>
      <c r="AN8" s="81">
        <v>0</v>
      </c>
      <c r="AO8" s="80">
        <f t="shared" si="0"/>
        <v>0</v>
      </c>
    </row>
    <row r="9" spans="1:41">
      <c r="A9" s="81" t="s">
        <v>54</v>
      </c>
      <c r="B9" s="81" t="s">
        <v>274</v>
      </c>
      <c r="C9" s="81" t="s">
        <v>168</v>
      </c>
      <c r="D9" s="81" t="s">
        <v>169</v>
      </c>
      <c r="E9" s="81" t="s">
        <v>228</v>
      </c>
      <c r="F9" s="81" t="s">
        <v>229</v>
      </c>
      <c r="G9" s="81" t="s">
        <v>8</v>
      </c>
      <c r="H9" s="81">
        <v>10</v>
      </c>
      <c r="I9" s="81">
        <v>44652</v>
      </c>
      <c r="J9" s="81"/>
      <c r="K9" s="81" t="s">
        <v>12</v>
      </c>
      <c r="L9" s="81">
        <v>3.7987000000000002</v>
      </c>
      <c r="M9" s="81">
        <v>3</v>
      </c>
      <c r="N9" s="81" t="s">
        <v>55</v>
      </c>
      <c r="O9" s="81" t="s">
        <v>275</v>
      </c>
      <c r="P9" s="81" t="s">
        <v>343</v>
      </c>
      <c r="Q9" s="81">
        <v>44788</v>
      </c>
      <c r="R9" s="81" t="s">
        <v>344</v>
      </c>
      <c r="S9" s="81">
        <v>97</v>
      </c>
      <c r="T9" s="81" t="s">
        <v>173</v>
      </c>
      <c r="U9" s="81"/>
      <c r="V9" s="81"/>
      <c r="W9" s="81">
        <v>199.9</v>
      </c>
      <c r="X9" s="81">
        <v>80000</v>
      </c>
      <c r="Y9" s="81">
        <v>759.36</v>
      </c>
      <c r="Z9" s="81">
        <v>599.70000000000005</v>
      </c>
      <c r="AA9" s="81" t="s">
        <v>345</v>
      </c>
      <c r="AB9" s="81" t="s">
        <v>183</v>
      </c>
      <c r="AC9" s="81" t="s">
        <v>346</v>
      </c>
      <c r="AD9" s="81" t="s">
        <v>347</v>
      </c>
      <c r="AE9" s="81" t="s">
        <v>348</v>
      </c>
      <c r="AF9" s="81" t="s">
        <v>349</v>
      </c>
      <c r="AG9" s="81" t="s">
        <v>350</v>
      </c>
      <c r="AH9" s="81" t="s">
        <v>181</v>
      </c>
      <c r="AI9" s="81" t="s">
        <v>206</v>
      </c>
      <c r="AJ9" s="81" t="s">
        <v>177</v>
      </c>
      <c r="AK9" s="81">
        <v>45048.125</v>
      </c>
      <c r="AL9" s="81" t="s">
        <v>178</v>
      </c>
      <c r="AM9" s="81" t="s">
        <v>179</v>
      </c>
      <c r="AN9" s="81">
        <v>0</v>
      </c>
      <c r="AO9" s="80">
        <f t="shared" si="0"/>
        <v>1.3000000001284207E-4</v>
      </c>
    </row>
    <row r="10" spans="1:41">
      <c r="A10" s="81" t="s">
        <v>54</v>
      </c>
      <c r="B10" s="81" t="s">
        <v>274</v>
      </c>
      <c r="C10" s="81" t="s">
        <v>168</v>
      </c>
      <c r="D10" s="81" t="s">
        <v>169</v>
      </c>
      <c r="E10" s="81" t="s">
        <v>228</v>
      </c>
      <c r="F10" s="81" t="s">
        <v>229</v>
      </c>
      <c r="G10" s="81" t="s">
        <v>8</v>
      </c>
      <c r="H10" s="81">
        <v>10</v>
      </c>
      <c r="I10" s="81">
        <v>44652</v>
      </c>
      <c r="J10" s="81"/>
      <c r="K10" s="81" t="s">
        <v>12</v>
      </c>
      <c r="L10" s="81">
        <v>3.7987000000000002</v>
      </c>
      <c r="M10" s="81">
        <v>3</v>
      </c>
      <c r="N10" s="81" t="s">
        <v>55</v>
      </c>
      <c r="O10" s="81" t="s">
        <v>275</v>
      </c>
      <c r="P10" s="81" t="s">
        <v>343</v>
      </c>
      <c r="Q10" s="81">
        <v>44788</v>
      </c>
      <c r="R10" s="81" t="s">
        <v>351</v>
      </c>
      <c r="S10" s="81">
        <v>96</v>
      </c>
      <c r="T10" s="81" t="s">
        <v>173</v>
      </c>
      <c r="U10" s="81"/>
      <c r="V10" s="81"/>
      <c r="W10" s="81">
        <v>250</v>
      </c>
      <c r="X10" s="81">
        <v>80000</v>
      </c>
      <c r="Y10" s="81">
        <v>949.68</v>
      </c>
      <c r="Z10" s="81">
        <v>750</v>
      </c>
      <c r="AA10" s="81" t="s">
        <v>345</v>
      </c>
      <c r="AB10" s="81" t="s">
        <v>183</v>
      </c>
      <c r="AC10" s="81" t="s">
        <v>346</v>
      </c>
      <c r="AD10" s="81" t="s">
        <v>347</v>
      </c>
      <c r="AE10" s="81" t="s">
        <v>348</v>
      </c>
      <c r="AF10" s="81" t="s">
        <v>349</v>
      </c>
      <c r="AG10" s="81" t="s">
        <v>350</v>
      </c>
      <c r="AH10" s="81" t="s">
        <v>181</v>
      </c>
      <c r="AI10" s="81" t="s">
        <v>206</v>
      </c>
      <c r="AJ10" s="81" t="s">
        <v>177</v>
      </c>
      <c r="AK10" s="81">
        <v>45048.125</v>
      </c>
      <c r="AL10" s="81" t="s">
        <v>178</v>
      </c>
      <c r="AM10" s="81" t="s">
        <v>179</v>
      </c>
      <c r="AN10" s="81">
        <v>0</v>
      </c>
      <c r="AO10" s="80">
        <f t="shared" si="0"/>
        <v>-4.9999999998817657E-3</v>
      </c>
    </row>
    <row r="11" spans="1:41">
      <c r="A11" s="81" t="s">
        <v>54</v>
      </c>
      <c r="B11" s="81" t="s">
        <v>274</v>
      </c>
      <c r="C11" s="81" t="s">
        <v>168</v>
      </c>
      <c r="D11" s="81" t="s">
        <v>169</v>
      </c>
      <c r="E11" s="81" t="s">
        <v>228</v>
      </c>
      <c r="F11" s="81" t="s">
        <v>229</v>
      </c>
      <c r="G11" s="81" t="s">
        <v>8</v>
      </c>
      <c r="H11" s="81">
        <v>10</v>
      </c>
      <c r="I11" s="81">
        <v>44652</v>
      </c>
      <c r="J11" s="81"/>
      <c r="K11" s="81" t="s">
        <v>12</v>
      </c>
      <c r="L11" s="81">
        <v>3.7987000000000002</v>
      </c>
      <c r="M11" s="81">
        <v>3</v>
      </c>
      <c r="N11" s="81" t="s">
        <v>55</v>
      </c>
      <c r="O11" s="81" t="s">
        <v>275</v>
      </c>
      <c r="P11" s="81" t="s">
        <v>343</v>
      </c>
      <c r="Q11" s="81">
        <v>44788</v>
      </c>
      <c r="R11" s="81" t="s">
        <v>344</v>
      </c>
      <c r="S11" s="81">
        <v>97</v>
      </c>
      <c r="T11" s="81" t="s">
        <v>173</v>
      </c>
      <c r="U11" s="81"/>
      <c r="V11" s="81"/>
      <c r="W11" s="81">
        <v>199.9</v>
      </c>
      <c r="X11" s="81">
        <v>100000</v>
      </c>
      <c r="Y11" s="81">
        <v>759.36</v>
      </c>
      <c r="Z11" s="81">
        <v>599.70000000000005</v>
      </c>
      <c r="AA11" s="81" t="s">
        <v>345</v>
      </c>
      <c r="AB11" s="81" t="s">
        <v>183</v>
      </c>
      <c r="AC11" s="81" t="s">
        <v>352</v>
      </c>
      <c r="AD11" s="81" t="s">
        <v>353</v>
      </c>
      <c r="AE11" s="81" t="s">
        <v>354</v>
      </c>
      <c r="AF11" s="81" t="s">
        <v>349</v>
      </c>
      <c r="AG11" s="81" t="s">
        <v>355</v>
      </c>
      <c r="AH11" s="81" t="s">
        <v>181</v>
      </c>
      <c r="AI11" s="81" t="s">
        <v>206</v>
      </c>
      <c r="AJ11" s="81" t="s">
        <v>177</v>
      </c>
      <c r="AK11" s="81">
        <v>45048.125</v>
      </c>
      <c r="AL11" s="81" t="s">
        <v>178</v>
      </c>
      <c r="AM11" s="81" t="s">
        <v>179</v>
      </c>
      <c r="AN11" s="81">
        <v>0</v>
      </c>
      <c r="AO11" s="80">
        <f t="shared" si="0"/>
        <v>1.3000000001284207E-4</v>
      </c>
    </row>
    <row r="12" spans="1:41">
      <c r="A12" s="81" t="s">
        <v>54</v>
      </c>
      <c r="B12" s="81" t="s">
        <v>274</v>
      </c>
      <c r="C12" s="81" t="s">
        <v>168</v>
      </c>
      <c r="D12" s="81" t="s">
        <v>169</v>
      </c>
      <c r="E12" s="81" t="s">
        <v>228</v>
      </c>
      <c r="F12" s="81" t="s">
        <v>229</v>
      </c>
      <c r="G12" s="81" t="s">
        <v>8</v>
      </c>
      <c r="H12" s="81">
        <v>10</v>
      </c>
      <c r="I12" s="81">
        <v>44652</v>
      </c>
      <c r="J12" s="81"/>
      <c r="K12" s="81" t="s">
        <v>12</v>
      </c>
      <c r="L12" s="81">
        <v>3.7987000000000002</v>
      </c>
      <c r="M12" s="81">
        <v>3</v>
      </c>
      <c r="N12" s="81" t="s">
        <v>55</v>
      </c>
      <c r="O12" s="81" t="s">
        <v>275</v>
      </c>
      <c r="P12" s="81" t="s">
        <v>343</v>
      </c>
      <c r="Q12" s="81">
        <v>44788</v>
      </c>
      <c r="R12" s="81" t="s">
        <v>351</v>
      </c>
      <c r="S12" s="81">
        <v>96</v>
      </c>
      <c r="T12" s="81" t="s">
        <v>173</v>
      </c>
      <c r="U12" s="81"/>
      <c r="V12" s="81"/>
      <c r="W12" s="81">
        <v>250</v>
      </c>
      <c r="X12" s="81">
        <v>100000</v>
      </c>
      <c r="Y12" s="81">
        <v>949.68</v>
      </c>
      <c r="Z12" s="81">
        <v>750</v>
      </c>
      <c r="AA12" s="81" t="s">
        <v>345</v>
      </c>
      <c r="AB12" s="81" t="s">
        <v>183</v>
      </c>
      <c r="AC12" s="81" t="s">
        <v>352</v>
      </c>
      <c r="AD12" s="81" t="s">
        <v>353</v>
      </c>
      <c r="AE12" s="81" t="s">
        <v>354</v>
      </c>
      <c r="AF12" s="81" t="s">
        <v>349</v>
      </c>
      <c r="AG12" s="81" t="s">
        <v>355</v>
      </c>
      <c r="AH12" s="81" t="s">
        <v>181</v>
      </c>
      <c r="AI12" s="81" t="s">
        <v>206</v>
      </c>
      <c r="AJ12" s="81" t="s">
        <v>177</v>
      </c>
      <c r="AK12" s="81">
        <v>45048.125</v>
      </c>
      <c r="AL12" s="81" t="s">
        <v>178</v>
      </c>
      <c r="AM12" s="81" t="s">
        <v>179</v>
      </c>
      <c r="AN12" s="81">
        <v>0</v>
      </c>
      <c r="AO12" s="80">
        <f t="shared" si="0"/>
        <v>-4.9999999998817657E-3</v>
      </c>
    </row>
    <row r="13" spans="1:41">
      <c r="A13" s="81" t="s">
        <v>54</v>
      </c>
      <c r="B13" s="81" t="s">
        <v>274</v>
      </c>
      <c r="C13" s="81" t="s">
        <v>168</v>
      </c>
      <c r="D13" s="81" t="s">
        <v>169</v>
      </c>
      <c r="E13" s="81" t="s">
        <v>228</v>
      </c>
      <c r="F13" s="81" t="s">
        <v>229</v>
      </c>
      <c r="G13" s="81" t="s">
        <v>8</v>
      </c>
      <c r="H13" s="81">
        <v>10</v>
      </c>
      <c r="I13" s="81">
        <v>44652</v>
      </c>
      <c r="J13" s="81"/>
      <c r="K13" s="81" t="s">
        <v>12</v>
      </c>
      <c r="L13" s="81">
        <v>3.7987000000000002</v>
      </c>
      <c r="M13" s="81">
        <v>3</v>
      </c>
      <c r="N13" s="81" t="s">
        <v>55</v>
      </c>
      <c r="O13" s="81" t="s">
        <v>275</v>
      </c>
      <c r="P13" s="81" t="s">
        <v>356</v>
      </c>
      <c r="Q13" s="81">
        <v>45031</v>
      </c>
      <c r="R13" s="81" t="s">
        <v>357</v>
      </c>
      <c r="S13" s="81">
        <v>93</v>
      </c>
      <c r="T13" s="81" t="s">
        <v>173</v>
      </c>
      <c r="U13" s="81"/>
      <c r="V13" s="81"/>
      <c r="W13" s="81">
        <v>150</v>
      </c>
      <c r="X13" s="81">
        <v>63600</v>
      </c>
      <c r="Y13" s="81">
        <v>569.80999999999995</v>
      </c>
      <c r="Z13" s="81">
        <v>450</v>
      </c>
      <c r="AA13" s="81" t="s">
        <v>358</v>
      </c>
      <c r="AB13" s="81" t="s">
        <v>183</v>
      </c>
      <c r="AC13" s="81" t="s">
        <v>359</v>
      </c>
      <c r="AD13" s="81" t="s">
        <v>360</v>
      </c>
      <c r="AE13" s="81" t="s">
        <v>361</v>
      </c>
      <c r="AF13" s="81" t="s">
        <v>362</v>
      </c>
      <c r="AG13" s="81" t="s">
        <v>363</v>
      </c>
      <c r="AH13" s="81" t="s">
        <v>209</v>
      </c>
      <c r="AI13" s="81" t="s">
        <v>210</v>
      </c>
      <c r="AJ13" s="81" t="s">
        <v>205</v>
      </c>
      <c r="AK13" s="81">
        <v>45121.25</v>
      </c>
      <c r="AL13" s="81" t="s">
        <v>178</v>
      </c>
      <c r="AM13" s="81" t="s">
        <v>179</v>
      </c>
      <c r="AN13" s="81">
        <v>0</v>
      </c>
      <c r="AO13" s="80">
        <f t="shared" si="0"/>
        <v>-4.9999999998817657E-3</v>
      </c>
    </row>
    <row r="14" spans="1:41">
      <c r="A14" s="81" t="s">
        <v>54</v>
      </c>
      <c r="B14" s="81" t="s">
        <v>274</v>
      </c>
      <c r="C14" s="81" t="s">
        <v>168</v>
      </c>
      <c r="D14" s="81" t="s">
        <v>169</v>
      </c>
      <c r="E14" s="81" t="s">
        <v>228</v>
      </c>
      <c r="F14" s="81" t="s">
        <v>229</v>
      </c>
      <c r="G14" s="81" t="s">
        <v>8</v>
      </c>
      <c r="H14" s="81">
        <v>10</v>
      </c>
      <c r="I14" s="81">
        <v>44652</v>
      </c>
      <c r="J14" s="81"/>
      <c r="K14" s="81" t="s">
        <v>12</v>
      </c>
      <c r="L14" s="81">
        <v>3.7987000000000002</v>
      </c>
      <c r="M14" s="81">
        <v>3</v>
      </c>
      <c r="N14" s="81" t="s">
        <v>55</v>
      </c>
      <c r="O14" s="81" t="s">
        <v>275</v>
      </c>
      <c r="P14" s="81" t="s">
        <v>356</v>
      </c>
      <c r="Q14" s="81">
        <v>45031</v>
      </c>
      <c r="R14" s="81" t="s">
        <v>357</v>
      </c>
      <c r="S14" s="81">
        <v>93</v>
      </c>
      <c r="T14" s="81" t="s">
        <v>173</v>
      </c>
      <c r="U14" s="81"/>
      <c r="V14" s="81"/>
      <c r="W14" s="81">
        <v>150</v>
      </c>
      <c r="X14" s="81">
        <v>63600</v>
      </c>
      <c r="Y14" s="81">
        <v>569.80999999999995</v>
      </c>
      <c r="Z14" s="81">
        <v>450</v>
      </c>
      <c r="AA14" s="81" t="s">
        <v>358</v>
      </c>
      <c r="AB14" s="81" t="s">
        <v>183</v>
      </c>
      <c r="AC14" s="81" t="s">
        <v>359</v>
      </c>
      <c r="AD14" s="81" t="s">
        <v>360</v>
      </c>
      <c r="AE14" s="81" t="s">
        <v>361</v>
      </c>
      <c r="AF14" s="81" t="s">
        <v>362</v>
      </c>
      <c r="AG14" s="81" t="s">
        <v>363</v>
      </c>
      <c r="AH14" s="81" t="s">
        <v>209</v>
      </c>
      <c r="AI14" s="81" t="s">
        <v>210</v>
      </c>
      <c r="AJ14" s="81" t="s">
        <v>205</v>
      </c>
      <c r="AK14" s="81">
        <v>45121.25</v>
      </c>
      <c r="AL14" s="81" t="s">
        <v>178</v>
      </c>
      <c r="AM14" s="81" t="s">
        <v>179</v>
      </c>
      <c r="AN14" s="81">
        <v>0</v>
      </c>
      <c r="AO14" s="80">
        <f t="shared" si="0"/>
        <v>-4.9999999998817657E-3</v>
      </c>
    </row>
    <row r="15" spans="1:41">
      <c r="A15" s="81" t="s">
        <v>54</v>
      </c>
      <c r="B15" s="81" t="s">
        <v>274</v>
      </c>
      <c r="C15" s="81" t="s">
        <v>168</v>
      </c>
      <c r="D15" s="81" t="s">
        <v>169</v>
      </c>
      <c r="E15" s="81" t="s">
        <v>228</v>
      </c>
      <c r="F15" s="81" t="s">
        <v>229</v>
      </c>
      <c r="G15" s="81" t="s">
        <v>8</v>
      </c>
      <c r="H15" s="81">
        <v>10</v>
      </c>
      <c r="I15" s="81">
        <v>44652</v>
      </c>
      <c r="J15" s="81"/>
      <c r="K15" s="81" t="s">
        <v>12</v>
      </c>
      <c r="L15" s="81">
        <v>3.7987000000000002</v>
      </c>
      <c r="M15" s="81">
        <v>3</v>
      </c>
      <c r="N15" s="81" t="s">
        <v>55</v>
      </c>
      <c r="O15" s="81" t="s">
        <v>275</v>
      </c>
      <c r="P15" s="81" t="s">
        <v>356</v>
      </c>
      <c r="Q15" s="81">
        <v>45031</v>
      </c>
      <c r="R15" s="81" t="s">
        <v>364</v>
      </c>
      <c r="S15" s="81">
        <v>92</v>
      </c>
      <c r="T15" s="81" t="s">
        <v>173</v>
      </c>
      <c r="U15" s="81"/>
      <c r="V15" s="81"/>
      <c r="W15" s="81">
        <v>300</v>
      </c>
      <c r="X15" s="81">
        <v>63600</v>
      </c>
      <c r="Y15" s="81">
        <v>1139.6099999999999</v>
      </c>
      <c r="Z15" s="81">
        <v>900</v>
      </c>
      <c r="AA15" s="81" t="s">
        <v>358</v>
      </c>
      <c r="AB15" s="81" t="s">
        <v>183</v>
      </c>
      <c r="AC15" s="81" t="s">
        <v>359</v>
      </c>
      <c r="AD15" s="81" t="s">
        <v>360</v>
      </c>
      <c r="AE15" s="81" t="s">
        <v>361</v>
      </c>
      <c r="AF15" s="81" t="s">
        <v>362</v>
      </c>
      <c r="AG15" s="81" t="s">
        <v>363</v>
      </c>
      <c r="AH15" s="81" t="s">
        <v>209</v>
      </c>
      <c r="AI15" s="81" t="s">
        <v>210</v>
      </c>
      <c r="AJ15" s="81" t="s">
        <v>205</v>
      </c>
      <c r="AK15" s="81">
        <v>45121.25</v>
      </c>
      <c r="AL15" s="81" t="s">
        <v>178</v>
      </c>
      <c r="AM15" s="81" t="s">
        <v>179</v>
      </c>
      <c r="AN15" s="81">
        <v>0</v>
      </c>
      <c r="AO15" s="80">
        <f t="shared" si="0"/>
        <v>0</v>
      </c>
    </row>
    <row r="16" spans="1:41">
      <c r="A16" s="81" t="s">
        <v>54</v>
      </c>
      <c r="B16" s="81" t="s">
        <v>274</v>
      </c>
      <c r="C16" s="81" t="s">
        <v>168</v>
      </c>
      <c r="D16" s="81" t="s">
        <v>169</v>
      </c>
      <c r="E16" s="81" t="s">
        <v>228</v>
      </c>
      <c r="F16" s="81" t="s">
        <v>229</v>
      </c>
      <c r="G16" s="81" t="s">
        <v>8</v>
      </c>
      <c r="H16" s="81">
        <v>10</v>
      </c>
      <c r="I16" s="81">
        <v>44652</v>
      </c>
      <c r="J16" s="81"/>
      <c r="K16" s="81" t="s">
        <v>12</v>
      </c>
      <c r="L16" s="81">
        <v>3.7987000000000002</v>
      </c>
      <c r="M16" s="81">
        <v>3</v>
      </c>
      <c r="N16" s="81" t="s">
        <v>55</v>
      </c>
      <c r="O16" s="81" t="s">
        <v>275</v>
      </c>
      <c r="P16" s="81" t="s">
        <v>365</v>
      </c>
      <c r="Q16" s="81">
        <v>44773</v>
      </c>
      <c r="R16" s="81" t="s">
        <v>366</v>
      </c>
      <c r="S16" s="81">
        <v>99</v>
      </c>
      <c r="T16" s="81" t="s">
        <v>287</v>
      </c>
      <c r="U16" s="81"/>
      <c r="V16" s="81"/>
      <c r="W16" s="81">
        <v>399</v>
      </c>
      <c r="X16" s="81">
        <v>10516</v>
      </c>
      <c r="Y16" s="81">
        <v>1515.68</v>
      </c>
      <c r="Z16" s="81">
        <v>1197</v>
      </c>
      <c r="AA16" s="81" t="s">
        <v>367</v>
      </c>
      <c r="AB16" s="81" t="s">
        <v>174</v>
      </c>
      <c r="AC16" s="81" t="s">
        <v>368</v>
      </c>
      <c r="AD16" s="81" t="s">
        <v>367</v>
      </c>
      <c r="AE16" s="81" t="s">
        <v>369</v>
      </c>
      <c r="AF16" s="81" t="s">
        <v>216</v>
      </c>
      <c r="AG16" s="81" t="s">
        <v>370</v>
      </c>
      <c r="AH16" s="81" t="s">
        <v>217</v>
      </c>
      <c r="AI16" s="81" t="s">
        <v>182</v>
      </c>
      <c r="AJ16" s="81" t="s">
        <v>177</v>
      </c>
      <c r="AK16" s="81">
        <v>45003.125</v>
      </c>
      <c r="AL16" s="81" t="s">
        <v>178</v>
      </c>
      <c r="AM16" s="81" t="s">
        <v>179</v>
      </c>
      <c r="AN16" s="81">
        <v>0</v>
      </c>
      <c r="AO16" s="80">
        <f t="shared" si="0"/>
        <v>1.299999999901047E-3</v>
      </c>
    </row>
    <row r="17" spans="1:41">
      <c r="A17" s="81" t="s">
        <v>54</v>
      </c>
      <c r="B17" s="81" t="s">
        <v>274</v>
      </c>
      <c r="C17" s="81" t="s">
        <v>168</v>
      </c>
      <c r="D17" s="81" t="s">
        <v>169</v>
      </c>
      <c r="E17" s="81" t="s">
        <v>228</v>
      </c>
      <c r="F17" s="81" t="s">
        <v>229</v>
      </c>
      <c r="G17" s="81" t="s">
        <v>8</v>
      </c>
      <c r="H17" s="81">
        <v>10</v>
      </c>
      <c r="I17" s="81">
        <v>44652</v>
      </c>
      <c r="J17" s="81"/>
      <c r="K17" s="81" t="s">
        <v>12</v>
      </c>
      <c r="L17" s="81">
        <v>3.7987000000000002</v>
      </c>
      <c r="M17" s="81">
        <v>3</v>
      </c>
      <c r="N17" s="81" t="s">
        <v>55</v>
      </c>
      <c r="O17" s="81" t="s">
        <v>275</v>
      </c>
      <c r="P17" s="81" t="s">
        <v>365</v>
      </c>
      <c r="Q17" s="81">
        <v>44773</v>
      </c>
      <c r="R17" s="81" t="s">
        <v>366</v>
      </c>
      <c r="S17" s="81">
        <v>99</v>
      </c>
      <c r="T17" s="81" t="s">
        <v>287</v>
      </c>
      <c r="U17" s="81"/>
      <c r="V17" s="81"/>
      <c r="W17" s="81">
        <v>399</v>
      </c>
      <c r="X17" s="81">
        <v>10516</v>
      </c>
      <c r="Y17" s="81">
        <v>1515.68</v>
      </c>
      <c r="Z17" s="81">
        <v>1197</v>
      </c>
      <c r="AA17" s="81" t="s">
        <v>367</v>
      </c>
      <c r="AB17" s="81" t="s">
        <v>174</v>
      </c>
      <c r="AC17" s="81" t="s">
        <v>368</v>
      </c>
      <c r="AD17" s="81" t="s">
        <v>367</v>
      </c>
      <c r="AE17" s="81" t="s">
        <v>369</v>
      </c>
      <c r="AF17" s="81" t="s">
        <v>216</v>
      </c>
      <c r="AG17" s="81" t="s">
        <v>370</v>
      </c>
      <c r="AH17" s="81" t="s">
        <v>217</v>
      </c>
      <c r="AI17" s="81" t="s">
        <v>182</v>
      </c>
      <c r="AJ17" s="81" t="s">
        <v>177</v>
      </c>
      <c r="AK17" s="81">
        <v>45003.125</v>
      </c>
      <c r="AL17" s="81" t="s">
        <v>178</v>
      </c>
      <c r="AM17" s="81" t="s">
        <v>179</v>
      </c>
      <c r="AN17" s="81">
        <v>0</v>
      </c>
      <c r="AO17" s="80">
        <f t="shared" si="0"/>
        <v>1.299999999901047E-3</v>
      </c>
    </row>
    <row r="18" spans="1:41">
      <c r="A18" s="81" t="s">
        <v>54</v>
      </c>
      <c r="B18" s="81" t="s">
        <v>274</v>
      </c>
      <c r="C18" s="81" t="s">
        <v>168</v>
      </c>
      <c r="D18" s="81" t="s">
        <v>169</v>
      </c>
      <c r="E18" s="81" t="s">
        <v>228</v>
      </c>
      <c r="F18" s="81" t="s">
        <v>229</v>
      </c>
      <c r="G18" s="81" t="s">
        <v>8</v>
      </c>
      <c r="H18" s="81">
        <v>10</v>
      </c>
      <c r="I18" s="81">
        <v>44652</v>
      </c>
      <c r="J18" s="81"/>
      <c r="K18" s="81" t="s">
        <v>12</v>
      </c>
      <c r="L18" s="81">
        <v>3.7987000000000002</v>
      </c>
      <c r="M18" s="81">
        <v>3</v>
      </c>
      <c r="N18" s="81" t="s">
        <v>55</v>
      </c>
      <c r="O18" s="81" t="s">
        <v>275</v>
      </c>
      <c r="P18" s="81" t="s">
        <v>371</v>
      </c>
      <c r="Q18" s="81">
        <v>44773</v>
      </c>
      <c r="R18" s="81" t="s">
        <v>372</v>
      </c>
      <c r="S18" s="81">
        <v>97</v>
      </c>
      <c r="T18" s="81" t="s">
        <v>287</v>
      </c>
      <c r="U18" s="81"/>
      <c r="V18" s="81"/>
      <c r="W18" s="81">
        <v>200</v>
      </c>
      <c r="X18" s="81">
        <v>12000</v>
      </c>
      <c r="Y18" s="81">
        <v>759.74</v>
      </c>
      <c r="Z18" s="81">
        <v>600</v>
      </c>
      <c r="AA18" s="81" t="s">
        <v>373</v>
      </c>
      <c r="AB18" s="81" t="s">
        <v>174</v>
      </c>
      <c r="AC18" s="81" t="s">
        <v>374</v>
      </c>
      <c r="AD18" s="81" t="s">
        <v>375</v>
      </c>
      <c r="AE18" s="81" t="s">
        <v>376</v>
      </c>
      <c r="AF18" s="81" t="s">
        <v>180</v>
      </c>
      <c r="AG18" s="81" t="s">
        <v>377</v>
      </c>
      <c r="AH18" s="81" t="s">
        <v>181</v>
      </c>
      <c r="AI18" s="81" t="s">
        <v>182</v>
      </c>
      <c r="AJ18" s="81" t="s">
        <v>177</v>
      </c>
      <c r="AK18" s="81">
        <v>45003.25</v>
      </c>
      <c r="AL18" s="81" t="s">
        <v>178</v>
      </c>
      <c r="AM18" s="81" t="s">
        <v>179</v>
      </c>
      <c r="AN18" s="81">
        <v>0</v>
      </c>
      <c r="AO18" s="80">
        <f t="shared" si="0"/>
        <v>0</v>
      </c>
    </row>
    <row r="19" spans="1:41">
      <c r="A19" s="81" t="s">
        <v>54</v>
      </c>
      <c r="B19" s="81" t="s">
        <v>274</v>
      </c>
      <c r="C19" s="81" t="s">
        <v>168</v>
      </c>
      <c r="D19" s="81" t="s">
        <v>169</v>
      </c>
      <c r="E19" s="81" t="s">
        <v>228</v>
      </c>
      <c r="F19" s="81" t="s">
        <v>229</v>
      </c>
      <c r="G19" s="81" t="s">
        <v>8</v>
      </c>
      <c r="H19" s="81">
        <v>10</v>
      </c>
      <c r="I19" s="81">
        <v>44652</v>
      </c>
      <c r="J19" s="81"/>
      <c r="K19" s="81" t="s">
        <v>12</v>
      </c>
      <c r="L19" s="81">
        <v>3.7987000000000002</v>
      </c>
      <c r="M19" s="81">
        <v>3</v>
      </c>
      <c r="N19" s="81" t="s">
        <v>55</v>
      </c>
      <c r="O19" s="81" t="s">
        <v>275</v>
      </c>
      <c r="P19" s="81" t="s">
        <v>371</v>
      </c>
      <c r="Q19" s="81">
        <v>44773</v>
      </c>
      <c r="R19" s="81" t="s">
        <v>372</v>
      </c>
      <c r="S19" s="81">
        <v>97</v>
      </c>
      <c r="T19" s="81" t="s">
        <v>287</v>
      </c>
      <c r="U19" s="81"/>
      <c r="V19" s="81"/>
      <c r="W19" s="81">
        <v>200</v>
      </c>
      <c r="X19" s="81">
        <v>12000</v>
      </c>
      <c r="Y19" s="81">
        <v>759.74</v>
      </c>
      <c r="Z19" s="81">
        <v>600</v>
      </c>
      <c r="AA19" s="81" t="s">
        <v>373</v>
      </c>
      <c r="AB19" s="81" t="s">
        <v>174</v>
      </c>
      <c r="AC19" s="81" t="s">
        <v>374</v>
      </c>
      <c r="AD19" s="81" t="s">
        <v>375</v>
      </c>
      <c r="AE19" s="81" t="s">
        <v>376</v>
      </c>
      <c r="AF19" s="81" t="s">
        <v>180</v>
      </c>
      <c r="AG19" s="81" t="s">
        <v>377</v>
      </c>
      <c r="AH19" s="81" t="s">
        <v>181</v>
      </c>
      <c r="AI19" s="81" t="s">
        <v>182</v>
      </c>
      <c r="AJ19" s="81" t="s">
        <v>177</v>
      </c>
      <c r="AK19" s="81">
        <v>45003.25</v>
      </c>
      <c r="AL19" s="81" t="s">
        <v>178</v>
      </c>
      <c r="AM19" s="81" t="s">
        <v>179</v>
      </c>
      <c r="AN19" s="81">
        <v>0</v>
      </c>
      <c r="AO19" s="80">
        <f t="shared" si="0"/>
        <v>0</v>
      </c>
    </row>
    <row r="20" spans="1:41">
      <c r="A20" s="81" t="s">
        <v>54</v>
      </c>
      <c r="B20" s="81" t="s">
        <v>274</v>
      </c>
      <c r="C20" s="81" t="s">
        <v>168</v>
      </c>
      <c r="D20" s="81" t="s">
        <v>169</v>
      </c>
      <c r="E20" s="81" t="s">
        <v>228</v>
      </c>
      <c r="F20" s="81" t="s">
        <v>229</v>
      </c>
      <c r="G20" s="81" t="s">
        <v>8</v>
      </c>
      <c r="H20" s="81">
        <v>10</v>
      </c>
      <c r="I20" s="81">
        <v>44652</v>
      </c>
      <c r="J20" s="81"/>
      <c r="K20" s="81" t="s">
        <v>12</v>
      </c>
      <c r="L20" s="81">
        <v>3.7987000000000002</v>
      </c>
      <c r="M20" s="81">
        <v>3</v>
      </c>
      <c r="N20" s="81" t="s">
        <v>55</v>
      </c>
      <c r="O20" s="81" t="s">
        <v>275</v>
      </c>
      <c r="P20" s="81" t="s">
        <v>371</v>
      </c>
      <c r="Q20" s="81">
        <v>44773</v>
      </c>
      <c r="R20" s="81" t="s">
        <v>372</v>
      </c>
      <c r="S20" s="81">
        <v>97</v>
      </c>
      <c r="T20" s="81" t="s">
        <v>287</v>
      </c>
      <c r="U20" s="81"/>
      <c r="V20" s="81"/>
      <c r="W20" s="81">
        <v>200</v>
      </c>
      <c r="X20" s="81">
        <v>12000</v>
      </c>
      <c r="Y20" s="81">
        <v>759.74</v>
      </c>
      <c r="Z20" s="81">
        <v>600</v>
      </c>
      <c r="AA20" s="81" t="s">
        <v>373</v>
      </c>
      <c r="AB20" s="81" t="s">
        <v>174</v>
      </c>
      <c r="AC20" s="81" t="s">
        <v>374</v>
      </c>
      <c r="AD20" s="81" t="s">
        <v>375</v>
      </c>
      <c r="AE20" s="81" t="s">
        <v>376</v>
      </c>
      <c r="AF20" s="81" t="s">
        <v>180</v>
      </c>
      <c r="AG20" s="81" t="s">
        <v>377</v>
      </c>
      <c r="AH20" s="81" t="s">
        <v>181</v>
      </c>
      <c r="AI20" s="81" t="s">
        <v>182</v>
      </c>
      <c r="AJ20" s="81" t="s">
        <v>177</v>
      </c>
      <c r="AK20" s="81">
        <v>45003.25</v>
      </c>
      <c r="AL20" s="81" t="s">
        <v>178</v>
      </c>
      <c r="AM20" s="81" t="s">
        <v>179</v>
      </c>
      <c r="AN20" s="81">
        <v>0</v>
      </c>
      <c r="AO20" s="80">
        <f t="shared" si="0"/>
        <v>0</v>
      </c>
    </row>
    <row r="21" spans="1:41">
      <c r="A21" s="81" t="s">
        <v>54</v>
      </c>
      <c r="B21" s="81" t="s">
        <v>274</v>
      </c>
      <c r="C21" s="81" t="s">
        <v>168</v>
      </c>
      <c r="D21" s="81" t="s">
        <v>169</v>
      </c>
      <c r="E21" s="81" t="s">
        <v>228</v>
      </c>
      <c r="F21" s="81" t="s">
        <v>229</v>
      </c>
      <c r="G21" s="81" t="s">
        <v>8</v>
      </c>
      <c r="H21" s="81">
        <v>10</v>
      </c>
      <c r="I21" s="81">
        <v>44652</v>
      </c>
      <c r="J21" s="81"/>
      <c r="K21" s="81" t="s">
        <v>12</v>
      </c>
      <c r="L21" s="81">
        <v>3.7987000000000002</v>
      </c>
      <c r="M21" s="81">
        <v>3</v>
      </c>
      <c r="N21" s="81" t="s">
        <v>55</v>
      </c>
      <c r="O21" s="81" t="s">
        <v>275</v>
      </c>
      <c r="P21" s="81" t="s">
        <v>371</v>
      </c>
      <c r="Q21" s="81">
        <v>44773</v>
      </c>
      <c r="R21" s="81" t="s">
        <v>372</v>
      </c>
      <c r="S21" s="81">
        <v>97</v>
      </c>
      <c r="T21" s="81" t="s">
        <v>287</v>
      </c>
      <c r="U21" s="81"/>
      <c r="V21" s="81"/>
      <c r="W21" s="81">
        <v>200</v>
      </c>
      <c r="X21" s="81">
        <v>12000</v>
      </c>
      <c r="Y21" s="81">
        <v>759.74</v>
      </c>
      <c r="Z21" s="81">
        <v>600</v>
      </c>
      <c r="AA21" s="81" t="s">
        <v>373</v>
      </c>
      <c r="AB21" s="81" t="s">
        <v>174</v>
      </c>
      <c r="AC21" s="81" t="s">
        <v>374</v>
      </c>
      <c r="AD21" s="81" t="s">
        <v>375</v>
      </c>
      <c r="AE21" s="81" t="s">
        <v>376</v>
      </c>
      <c r="AF21" s="81" t="s">
        <v>180</v>
      </c>
      <c r="AG21" s="81" t="s">
        <v>377</v>
      </c>
      <c r="AH21" s="81" t="s">
        <v>181</v>
      </c>
      <c r="AI21" s="81" t="s">
        <v>182</v>
      </c>
      <c r="AJ21" s="81" t="s">
        <v>177</v>
      </c>
      <c r="AK21" s="81">
        <v>45003.25</v>
      </c>
      <c r="AL21" s="81" t="s">
        <v>178</v>
      </c>
      <c r="AM21" s="81" t="s">
        <v>179</v>
      </c>
      <c r="AN21" s="81">
        <v>0</v>
      </c>
      <c r="AO21" s="80">
        <f t="shared" si="0"/>
        <v>0</v>
      </c>
    </row>
    <row r="22" spans="1:41">
      <c r="A22" s="81" t="s">
        <v>54</v>
      </c>
      <c r="B22" s="81" t="s">
        <v>274</v>
      </c>
      <c r="C22" s="81" t="s">
        <v>168</v>
      </c>
      <c r="D22" s="81" t="s">
        <v>169</v>
      </c>
      <c r="E22" s="81" t="s">
        <v>228</v>
      </c>
      <c r="F22" s="81" t="s">
        <v>229</v>
      </c>
      <c r="G22" s="81" t="s">
        <v>8</v>
      </c>
      <c r="H22" s="81">
        <v>10</v>
      </c>
      <c r="I22" s="81">
        <v>44652</v>
      </c>
      <c r="J22" s="81"/>
      <c r="K22" s="81" t="s">
        <v>12</v>
      </c>
      <c r="L22" s="81">
        <v>3.7987000000000002</v>
      </c>
      <c r="M22" s="81">
        <v>3</v>
      </c>
      <c r="N22" s="81" t="s">
        <v>55</v>
      </c>
      <c r="O22" s="81" t="s">
        <v>275</v>
      </c>
      <c r="P22" s="81" t="s">
        <v>276</v>
      </c>
      <c r="Q22" s="81">
        <v>44957</v>
      </c>
      <c r="R22" s="81" t="s">
        <v>378</v>
      </c>
      <c r="S22" s="81">
        <v>95</v>
      </c>
      <c r="T22" s="81" t="s">
        <v>173</v>
      </c>
      <c r="U22" s="81"/>
      <c r="V22" s="81"/>
      <c r="W22" s="81">
        <v>199.9</v>
      </c>
      <c r="X22" s="81">
        <v>8138</v>
      </c>
      <c r="Y22" s="81">
        <v>759.36</v>
      </c>
      <c r="Z22" s="81">
        <v>599.70000000000005</v>
      </c>
      <c r="AA22" s="81" t="s">
        <v>379</v>
      </c>
      <c r="AB22" s="81" t="s">
        <v>183</v>
      </c>
      <c r="AC22" s="81" t="s">
        <v>380</v>
      </c>
      <c r="AD22" s="81" t="s">
        <v>381</v>
      </c>
      <c r="AE22" s="81" t="s">
        <v>382</v>
      </c>
      <c r="AF22" s="81" t="s">
        <v>216</v>
      </c>
      <c r="AG22" s="81" t="s">
        <v>218</v>
      </c>
      <c r="AH22" s="81" t="s">
        <v>217</v>
      </c>
      <c r="AI22" s="81" t="s">
        <v>182</v>
      </c>
      <c r="AJ22" s="81" t="s">
        <v>177</v>
      </c>
      <c r="AK22" s="81">
        <v>45003.125</v>
      </c>
      <c r="AL22" s="81" t="s">
        <v>178</v>
      </c>
      <c r="AM22" s="81" t="s">
        <v>179</v>
      </c>
      <c r="AN22" s="81">
        <v>0</v>
      </c>
      <c r="AO22" s="80">
        <f t="shared" si="0"/>
        <v>1.3000000001284207E-4</v>
      </c>
    </row>
    <row r="23" spans="1:41">
      <c r="A23" s="81" t="s">
        <v>86</v>
      </c>
      <c r="B23" s="81" t="s">
        <v>113</v>
      </c>
      <c r="C23" s="81" t="s">
        <v>168</v>
      </c>
      <c r="D23" s="81" t="s">
        <v>169</v>
      </c>
      <c r="E23" s="81" t="s">
        <v>221</v>
      </c>
      <c r="F23" s="81" t="s">
        <v>220</v>
      </c>
      <c r="G23" s="81" t="s">
        <v>9</v>
      </c>
      <c r="H23" s="81">
        <v>12</v>
      </c>
      <c r="I23" s="81">
        <v>43515</v>
      </c>
      <c r="J23" s="81"/>
      <c r="K23" s="81" t="s">
        <v>47</v>
      </c>
      <c r="L23" s="81">
        <v>219</v>
      </c>
      <c r="M23" s="81">
        <v>800</v>
      </c>
      <c r="N23" s="81" t="s">
        <v>48</v>
      </c>
      <c r="O23" s="81" t="s">
        <v>171</v>
      </c>
      <c r="P23" s="81" t="s">
        <v>172</v>
      </c>
      <c r="Q23" s="81">
        <v>44970</v>
      </c>
      <c r="R23" s="81" t="s">
        <v>320</v>
      </c>
      <c r="S23" s="81"/>
      <c r="T23" s="81" t="s">
        <v>173</v>
      </c>
      <c r="U23" s="81"/>
      <c r="V23" s="81"/>
      <c r="W23" s="81">
        <v>1</v>
      </c>
      <c r="X23" s="81">
        <v>4795</v>
      </c>
      <c r="Y23" s="81">
        <v>219</v>
      </c>
      <c r="Z23" s="81">
        <v>800</v>
      </c>
      <c r="AA23" s="81" t="s">
        <v>321</v>
      </c>
      <c r="AB23" s="81" t="s">
        <v>202</v>
      </c>
      <c r="AC23" s="81" t="s">
        <v>322</v>
      </c>
      <c r="AD23" s="81" t="s">
        <v>323</v>
      </c>
      <c r="AE23" s="81" t="s">
        <v>324</v>
      </c>
      <c r="AF23" s="81" t="s">
        <v>325</v>
      </c>
      <c r="AG23" s="81" t="s">
        <v>326</v>
      </c>
      <c r="AH23" s="81" t="s">
        <v>327</v>
      </c>
      <c r="AI23" s="81" t="s">
        <v>222</v>
      </c>
      <c r="AJ23" s="81" t="s">
        <v>205</v>
      </c>
      <c r="AK23" s="81">
        <v>45048.125</v>
      </c>
      <c r="AL23" s="81" t="s">
        <v>178</v>
      </c>
      <c r="AM23" s="81" t="s">
        <v>179</v>
      </c>
      <c r="AN23" s="81">
        <v>0</v>
      </c>
      <c r="AO23" s="80">
        <f t="shared" si="0"/>
        <v>0</v>
      </c>
    </row>
    <row r="24" spans="1:41">
      <c r="A24" s="81" t="s">
        <v>86</v>
      </c>
      <c r="B24" s="81" t="s">
        <v>113</v>
      </c>
      <c r="C24" s="81" t="s">
        <v>168</v>
      </c>
      <c r="D24" s="81" t="s">
        <v>169</v>
      </c>
      <c r="E24" s="81" t="s">
        <v>221</v>
      </c>
      <c r="F24" s="81" t="s">
        <v>220</v>
      </c>
      <c r="G24" s="81" t="s">
        <v>9</v>
      </c>
      <c r="H24" s="81">
        <v>12</v>
      </c>
      <c r="I24" s="81">
        <v>43515</v>
      </c>
      <c r="J24" s="81"/>
      <c r="K24" s="81" t="s">
        <v>47</v>
      </c>
      <c r="L24" s="81">
        <v>219</v>
      </c>
      <c r="M24" s="81">
        <v>800</v>
      </c>
      <c r="N24" s="81" t="s">
        <v>48</v>
      </c>
      <c r="O24" s="81" t="s">
        <v>171</v>
      </c>
      <c r="P24" s="81" t="s">
        <v>172</v>
      </c>
      <c r="Q24" s="81">
        <v>44970</v>
      </c>
      <c r="R24" s="81" t="s">
        <v>320</v>
      </c>
      <c r="S24" s="81"/>
      <c r="T24" s="81" t="s">
        <v>173</v>
      </c>
      <c r="U24" s="81"/>
      <c r="V24" s="81"/>
      <c r="W24" s="81">
        <v>1</v>
      </c>
      <c r="X24" s="81">
        <v>4795</v>
      </c>
      <c r="Y24" s="81">
        <v>219</v>
      </c>
      <c r="Z24" s="81">
        <v>800</v>
      </c>
      <c r="AA24" s="81" t="s">
        <v>321</v>
      </c>
      <c r="AB24" s="81" t="s">
        <v>202</v>
      </c>
      <c r="AC24" s="81" t="s">
        <v>322</v>
      </c>
      <c r="AD24" s="81" t="s">
        <v>323</v>
      </c>
      <c r="AE24" s="81" t="s">
        <v>324</v>
      </c>
      <c r="AF24" s="81" t="s">
        <v>325</v>
      </c>
      <c r="AG24" s="81" t="s">
        <v>326</v>
      </c>
      <c r="AH24" s="81" t="s">
        <v>327</v>
      </c>
      <c r="AI24" s="81" t="s">
        <v>222</v>
      </c>
      <c r="AJ24" s="81" t="s">
        <v>205</v>
      </c>
      <c r="AK24" s="81">
        <v>45048.125</v>
      </c>
      <c r="AL24" s="81" t="s">
        <v>178</v>
      </c>
      <c r="AM24" s="81" t="s">
        <v>179</v>
      </c>
      <c r="AN24" s="81">
        <v>0</v>
      </c>
      <c r="AO24" s="80">
        <f t="shared" si="0"/>
        <v>0</v>
      </c>
    </row>
    <row r="25" spans="1:41">
      <c r="A25" s="81" t="s">
        <v>23</v>
      </c>
      <c r="B25" s="81" t="s">
        <v>115</v>
      </c>
      <c r="C25" s="81" t="s">
        <v>168</v>
      </c>
      <c r="D25" s="81" t="s">
        <v>169</v>
      </c>
      <c r="E25" s="81" t="s">
        <v>221</v>
      </c>
      <c r="F25" s="81" t="s">
        <v>220</v>
      </c>
      <c r="G25" s="81" t="s">
        <v>49</v>
      </c>
      <c r="H25" s="81">
        <v>12</v>
      </c>
      <c r="I25" s="81">
        <v>43515</v>
      </c>
      <c r="J25" s="81"/>
      <c r="K25" s="81" t="s">
        <v>50</v>
      </c>
      <c r="L25" s="81">
        <v>1806</v>
      </c>
      <c r="M25" s="81">
        <v>2500</v>
      </c>
      <c r="N25" s="81" t="s">
        <v>21</v>
      </c>
      <c r="O25" s="81" t="s">
        <v>171</v>
      </c>
      <c r="P25" s="81" t="s">
        <v>172</v>
      </c>
      <c r="Q25" s="81">
        <v>44724</v>
      </c>
      <c r="R25" s="81" t="s">
        <v>328</v>
      </c>
      <c r="S25" s="81"/>
      <c r="T25" s="81" t="s">
        <v>173</v>
      </c>
      <c r="U25" s="81"/>
      <c r="V25" s="81"/>
      <c r="W25" s="81">
        <v>1</v>
      </c>
      <c r="X25" s="81">
        <v>41949</v>
      </c>
      <c r="Y25" s="81">
        <v>1806</v>
      </c>
      <c r="Z25" s="81">
        <v>2500</v>
      </c>
      <c r="AA25" s="81" t="s">
        <v>329</v>
      </c>
      <c r="AB25" s="81" t="s">
        <v>202</v>
      </c>
      <c r="AC25" s="81" t="s">
        <v>330</v>
      </c>
      <c r="AD25" s="81" t="s">
        <v>331</v>
      </c>
      <c r="AE25" s="81" t="s">
        <v>332</v>
      </c>
      <c r="AF25" s="81" t="s">
        <v>222</v>
      </c>
      <c r="AG25" s="81" t="s">
        <v>333</v>
      </c>
      <c r="AH25" s="81" t="s">
        <v>243</v>
      </c>
      <c r="AI25" s="81" t="s">
        <v>222</v>
      </c>
      <c r="AJ25" s="81" t="s">
        <v>205</v>
      </c>
      <c r="AK25" s="81">
        <v>45048.125</v>
      </c>
      <c r="AL25" s="81" t="s">
        <v>207</v>
      </c>
      <c r="AM25" s="81" t="s">
        <v>179</v>
      </c>
      <c r="AN25" s="81">
        <v>0</v>
      </c>
      <c r="AO25" s="80">
        <f t="shared" si="0"/>
        <v>0</v>
      </c>
    </row>
    <row r="26" spans="1:41">
      <c r="A26" s="81" t="s">
        <v>23</v>
      </c>
      <c r="B26" s="81" t="s">
        <v>115</v>
      </c>
      <c r="C26" s="81" t="s">
        <v>168</v>
      </c>
      <c r="D26" s="81" t="s">
        <v>169</v>
      </c>
      <c r="E26" s="81" t="s">
        <v>221</v>
      </c>
      <c r="F26" s="81" t="s">
        <v>220</v>
      </c>
      <c r="G26" s="81" t="s">
        <v>49</v>
      </c>
      <c r="H26" s="81">
        <v>12</v>
      </c>
      <c r="I26" s="81">
        <v>43515</v>
      </c>
      <c r="J26" s="81"/>
      <c r="K26" s="81" t="s">
        <v>50</v>
      </c>
      <c r="L26" s="81">
        <v>1806</v>
      </c>
      <c r="M26" s="81">
        <v>2500</v>
      </c>
      <c r="N26" s="81" t="s">
        <v>21</v>
      </c>
      <c r="O26" s="81" t="s">
        <v>171</v>
      </c>
      <c r="P26" s="81" t="s">
        <v>172</v>
      </c>
      <c r="Q26" s="81">
        <v>44724</v>
      </c>
      <c r="R26" s="81" t="s">
        <v>328</v>
      </c>
      <c r="S26" s="81"/>
      <c r="T26" s="81" t="s">
        <v>173</v>
      </c>
      <c r="U26" s="81"/>
      <c r="V26" s="81"/>
      <c r="W26" s="81">
        <v>1</v>
      </c>
      <c r="X26" s="81">
        <v>41949</v>
      </c>
      <c r="Y26" s="81">
        <v>1806</v>
      </c>
      <c r="Z26" s="81">
        <v>2500</v>
      </c>
      <c r="AA26" s="81" t="s">
        <v>329</v>
      </c>
      <c r="AB26" s="81" t="s">
        <v>202</v>
      </c>
      <c r="AC26" s="81" t="s">
        <v>330</v>
      </c>
      <c r="AD26" s="81" t="s">
        <v>331</v>
      </c>
      <c r="AE26" s="81" t="s">
        <v>332</v>
      </c>
      <c r="AF26" s="81" t="s">
        <v>222</v>
      </c>
      <c r="AG26" s="81" t="s">
        <v>333</v>
      </c>
      <c r="AH26" s="81" t="s">
        <v>243</v>
      </c>
      <c r="AI26" s="81" t="s">
        <v>222</v>
      </c>
      <c r="AJ26" s="81" t="s">
        <v>205</v>
      </c>
      <c r="AK26" s="81">
        <v>45048.125</v>
      </c>
      <c r="AL26" s="81" t="s">
        <v>207</v>
      </c>
      <c r="AM26" s="81" t="s">
        <v>179</v>
      </c>
      <c r="AN26" s="81">
        <v>0</v>
      </c>
      <c r="AO26" s="80">
        <f t="shared" si="0"/>
        <v>0</v>
      </c>
    </row>
    <row r="27" spans="1:41">
      <c r="A27" s="81" t="s">
        <v>23</v>
      </c>
      <c r="B27" s="81" t="s">
        <v>115</v>
      </c>
      <c r="C27" s="81" t="s">
        <v>168</v>
      </c>
      <c r="D27" s="81" t="s">
        <v>169</v>
      </c>
      <c r="E27" s="81" t="s">
        <v>221</v>
      </c>
      <c r="F27" s="81" t="s">
        <v>220</v>
      </c>
      <c r="G27" s="81" t="s">
        <v>49</v>
      </c>
      <c r="H27" s="81">
        <v>12</v>
      </c>
      <c r="I27" s="81">
        <v>43515</v>
      </c>
      <c r="J27" s="81"/>
      <c r="K27" s="81" t="s">
        <v>50</v>
      </c>
      <c r="L27" s="81">
        <v>1806</v>
      </c>
      <c r="M27" s="81">
        <v>2500</v>
      </c>
      <c r="N27" s="81" t="s">
        <v>21</v>
      </c>
      <c r="O27" s="81" t="s">
        <v>171</v>
      </c>
      <c r="P27" s="81" t="s">
        <v>172</v>
      </c>
      <c r="Q27" s="81">
        <v>44724</v>
      </c>
      <c r="R27" s="81" t="s">
        <v>328</v>
      </c>
      <c r="S27" s="81"/>
      <c r="T27" s="81" t="s">
        <v>173</v>
      </c>
      <c r="U27" s="81"/>
      <c r="V27" s="81"/>
      <c r="W27" s="81">
        <v>1</v>
      </c>
      <c r="X27" s="81">
        <v>41949</v>
      </c>
      <c r="Y27" s="81">
        <v>1806</v>
      </c>
      <c r="Z27" s="81">
        <v>2500</v>
      </c>
      <c r="AA27" s="81" t="s">
        <v>329</v>
      </c>
      <c r="AB27" s="81" t="s">
        <v>202</v>
      </c>
      <c r="AC27" s="81" t="s">
        <v>330</v>
      </c>
      <c r="AD27" s="81" t="s">
        <v>331</v>
      </c>
      <c r="AE27" s="81" t="s">
        <v>332</v>
      </c>
      <c r="AF27" s="81" t="s">
        <v>222</v>
      </c>
      <c r="AG27" s="81" t="s">
        <v>333</v>
      </c>
      <c r="AH27" s="81" t="s">
        <v>243</v>
      </c>
      <c r="AI27" s="81" t="s">
        <v>222</v>
      </c>
      <c r="AJ27" s="81" t="s">
        <v>205</v>
      </c>
      <c r="AK27" s="81">
        <v>45048.125</v>
      </c>
      <c r="AL27" s="81" t="s">
        <v>207</v>
      </c>
      <c r="AM27" s="81" t="s">
        <v>179</v>
      </c>
      <c r="AN27" s="81">
        <v>0</v>
      </c>
      <c r="AO27" s="80">
        <f t="shared" si="0"/>
        <v>0</v>
      </c>
    </row>
    <row r="28" spans="1:41">
      <c r="A28" s="81" t="s">
        <v>383</v>
      </c>
      <c r="B28" s="81" t="s">
        <v>384</v>
      </c>
      <c r="C28" s="81" t="s">
        <v>223</v>
      </c>
      <c r="D28" s="81" t="s">
        <v>169</v>
      </c>
      <c r="E28" s="81" t="s">
        <v>383</v>
      </c>
      <c r="F28" s="81" t="s">
        <v>224</v>
      </c>
      <c r="G28" s="81" t="s">
        <v>385</v>
      </c>
      <c r="H28" s="81">
        <v>12</v>
      </c>
      <c r="I28" s="81"/>
      <c r="J28" s="81"/>
      <c r="K28" s="81" t="s">
        <v>173</v>
      </c>
      <c r="L28" s="81">
        <v>0</v>
      </c>
      <c r="M28" s="81">
        <v>0</v>
      </c>
      <c r="N28" s="81" t="s">
        <v>21</v>
      </c>
      <c r="O28" s="81" t="s">
        <v>173</v>
      </c>
      <c r="P28" s="81" t="s">
        <v>386</v>
      </c>
      <c r="Q28" s="81">
        <v>44938</v>
      </c>
      <c r="R28" s="81" t="s">
        <v>173</v>
      </c>
      <c r="S28" s="81"/>
      <c r="T28" s="81" t="s">
        <v>173</v>
      </c>
      <c r="U28" s="81"/>
      <c r="V28" s="81"/>
      <c r="W28" s="81">
        <v>1</v>
      </c>
      <c r="X28" s="81">
        <v>267570</v>
      </c>
      <c r="Y28" s="81">
        <v>26000</v>
      </c>
      <c r="Z28" s="81">
        <v>43680</v>
      </c>
      <c r="AA28" s="81" t="s">
        <v>387</v>
      </c>
      <c r="AB28" s="81" t="s">
        <v>183</v>
      </c>
      <c r="AC28" s="81" t="s">
        <v>388</v>
      </c>
      <c r="AD28" s="81" t="s">
        <v>389</v>
      </c>
      <c r="AE28" s="81" t="s">
        <v>390</v>
      </c>
      <c r="AF28" s="81" t="s">
        <v>227</v>
      </c>
      <c r="AG28" s="81" t="s">
        <v>339</v>
      </c>
      <c r="AH28" s="81" t="s">
        <v>191</v>
      </c>
      <c r="AI28" s="81" t="s">
        <v>192</v>
      </c>
      <c r="AJ28" s="81" t="s">
        <v>186</v>
      </c>
      <c r="AK28" s="81">
        <v>44967</v>
      </c>
      <c r="AL28" s="81" t="s">
        <v>207</v>
      </c>
      <c r="AM28" s="81" t="s">
        <v>179</v>
      </c>
      <c r="AN28" s="81">
        <v>0</v>
      </c>
      <c r="AO28" s="80">
        <f t="shared" si="0"/>
        <v>-26000</v>
      </c>
    </row>
    <row r="29" spans="1:41">
      <c r="A29" s="81" t="s">
        <v>231</v>
      </c>
      <c r="B29" s="81" t="s">
        <v>232</v>
      </c>
      <c r="C29" s="81" t="s">
        <v>223</v>
      </c>
      <c r="D29" s="81" t="s">
        <v>169</v>
      </c>
      <c r="E29" s="81" t="s">
        <v>231</v>
      </c>
      <c r="F29" s="81" t="s">
        <v>224</v>
      </c>
      <c r="G29" s="81" t="s">
        <v>391</v>
      </c>
      <c r="H29" s="81">
        <v>15</v>
      </c>
      <c r="I29" s="81"/>
      <c r="J29" s="81"/>
      <c r="K29" s="81" t="s">
        <v>173</v>
      </c>
      <c r="L29" s="81">
        <v>0</v>
      </c>
      <c r="M29" s="81">
        <v>0</v>
      </c>
      <c r="N29" s="81" t="s">
        <v>21</v>
      </c>
      <c r="O29" s="81" t="s">
        <v>173</v>
      </c>
      <c r="P29" s="81" t="s">
        <v>172</v>
      </c>
      <c r="Q29" s="81">
        <v>44985</v>
      </c>
      <c r="R29" s="81" t="s">
        <v>392</v>
      </c>
      <c r="S29" s="81"/>
      <c r="T29" s="81" t="s">
        <v>173</v>
      </c>
      <c r="U29" s="81"/>
      <c r="V29" s="81"/>
      <c r="W29" s="81">
        <v>1</v>
      </c>
      <c r="X29" s="81">
        <v>229000</v>
      </c>
      <c r="Y29" s="81">
        <v>12600</v>
      </c>
      <c r="Z29" s="81">
        <v>42840</v>
      </c>
      <c r="AA29" s="81" t="s">
        <v>393</v>
      </c>
      <c r="AB29" s="81" t="s">
        <v>183</v>
      </c>
      <c r="AC29" s="81" t="s">
        <v>394</v>
      </c>
      <c r="AD29" s="81" t="s">
        <v>395</v>
      </c>
      <c r="AE29" s="81" t="s">
        <v>396</v>
      </c>
      <c r="AF29" s="81" t="s">
        <v>185</v>
      </c>
      <c r="AG29" s="81" t="s">
        <v>397</v>
      </c>
      <c r="AH29" s="81" t="s">
        <v>184</v>
      </c>
      <c r="AI29" s="81" t="s">
        <v>185</v>
      </c>
      <c r="AJ29" s="81" t="s">
        <v>186</v>
      </c>
      <c r="AK29" s="81">
        <v>45044.125</v>
      </c>
      <c r="AL29" s="81" t="s">
        <v>178</v>
      </c>
      <c r="AM29" s="81" t="s">
        <v>179</v>
      </c>
      <c r="AN29" s="81">
        <v>229000</v>
      </c>
      <c r="AO29" s="80">
        <f t="shared" si="0"/>
        <v>-12600</v>
      </c>
    </row>
    <row r="30" spans="1:41">
      <c r="A30" s="81" t="s">
        <v>60</v>
      </c>
      <c r="B30" s="81" t="s">
        <v>125</v>
      </c>
      <c r="C30" s="81" t="s">
        <v>168</v>
      </c>
      <c r="D30" s="81" t="s">
        <v>169</v>
      </c>
      <c r="E30" s="81" t="s">
        <v>234</v>
      </c>
      <c r="F30" s="81" t="s">
        <v>234</v>
      </c>
      <c r="G30" s="81" t="s">
        <v>61</v>
      </c>
      <c r="H30" s="81">
        <v>18</v>
      </c>
      <c r="I30" s="81">
        <v>43515</v>
      </c>
      <c r="J30" s="81"/>
      <c r="K30" s="81" t="s">
        <v>62</v>
      </c>
      <c r="L30" s="81">
        <v>1.1000000000000001</v>
      </c>
      <c r="M30" s="81">
        <v>5</v>
      </c>
      <c r="N30" s="81" t="s">
        <v>55</v>
      </c>
      <c r="O30" s="81" t="s">
        <v>171</v>
      </c>
      <c r="P30" s="81" t="s">
        <v>286</v>
      </c>
      <c r="Q30" s="81">
        <v>45026</v>
      </c>
      <c r="R30" s="81" t="s">
        <v>398</v>
      </c>
      <c r="S30" s="81">
        <v>96.1</v>
      </c>
      <c r="T30" s="81" t="s">
        <v>173</v>
      </c>
      <c r="U30" s="81"/>
      <c r="V30" s="81"/>
      <c r="W30" s="81">
        <v>60</v>
      </c>
      <c r="X30" s="81">
        <v>13782.11</v>
      </c>
      <c r="Y30" s="81">
        <v>66</v>
      </c>
      <c r="Z30" s="81">
        <v>300</v>
      </c>
      <c r="AA30" s="81" t="s">
        <v>286</v>
      </c>
      <c r="AB30" s="81" t="s">
        <v>202</v>
      </c>
      <c r="AC30" s="81" t="s">
        <v>399</v>
      </c>
      <c r="AD30" s="81" t="s">
        <v>400</v>
      </c>
      <c r="AE30" s="81" t="s">
        <v>401</v>
      </c>
      <c r="AF30" s="81" t="s">
        <v>206</v>
      </c>
      <c r="AG30" s="81" t="s">
        <v>402</v>
      </c>
      <c r="AH30" s="81" t="s">
        <v>206</v>
      </c>
      <c r="AI30" s="81" t="s">
        <v>206</v>
      </c>
      <c r="AJ30" s="81" t="s">
        <v>177</v>
      </c>
      <c r="AK30" s="81">
        <v>45063.25</v>
      </c>
      <c r="AL30" s="81" t="s">
        <v>178</v>
      </c>
      <c r="AM30" s="81" t="s">
        <v>179</v>
      </c>
      <c r="AN30" s="81">
        <v>0</v>
      </c>
      <c r="AO30" s="80">
        <f t="shared" si="0"/>
        <v>0</v>
      </c>
    </row>
    <row r="31" spans="1:41">
      <c r="A31" s="81" t="s">
        <v>60</v>
      </c>
      <c r="B31" s="81" t="s">
        <v>125</v>
      </c>
      <c r="C31" s="81" t="s">
        <v>168</v>
      </c>
      <c r="D31" s="81" t="s">
        <v>169</v>
      </c>
      <c r="E31" s="81" t="s">
        <v>234</v>
      </c>
      <c r="F31" s="81" t="s">
        <v>234</v>
      </c>
      <c r="G31" s="81" t="s">
        <v>61</v>
      </c>
      <c r="H31" s="81">
        <v>18</v>
      </c>
      <c r="I31" s="81">
        <v>43515</v>
      </c>
      <c r="J31" s="81"/>
      <c r="K31" s="81" t="s">
        <v>62</v>
      </c>
      <c r="L31" s="81">
        <v>1.1000000000000001</v>
      </c>
      <c r="M31" s="81">
        <v>5</v>
      </c>
      <c r="N31" s="81" t="s">
        <v>55</v>
      </c>
      <c r="O31" s="81" t="s">
        <v>171</v>
      </c>
      <c r="P31" s="81" t="s">
        <v>403</v>
      </c>
      <c r="Q31" s="81">
        <v>45016</v>
      </c>
      <c r="R31" s="81" t="s">
        <v>404</v>
      </c>
      <c r="S31" s="81">
        <v>96.1</v>
      </c>
      <c r="T31" s="81" t="s">
        <v>405</v>
      </c>
      <c r="U31" s="81"/>
      <c r="V31" s="81"/>
      <c r="W31" s="81">
        <v>120</v>
      </c>
      <c r="X31" s="81">
        <v>5607.5</v>
      </c>
      <c r="Y31" s="81">
        <v>132</v>
      </c>
      <c r="Z31" s="81">
        <v>600</v>
      </c>
      <c r="AA31" s="81" t="s">
        <v>406</v>
      </c>
      <c r="AB31" s="81" t="s">
        <v>202</v>
      </c>
      <c r="AC31" s="81" t="s">
        <v>407</v>
      </c>
      <c r="AD31" s="81" t="s">
        <v>408</v>
      </c>
      <c r="AE31" s="81" t="s">
        <v>409</v>
      </c>
      <c r="AF31" s="81" t="s">
        <v>206</v>
      </c>
      <c r="AG31" s="81" t="s">
        <v>410</v>
      </c>
      <c r="AH31" s="81" t="s">
        <v>206</v>
      </c>
      <c r="AI31" s="81" t="s">
        <v>206</v>
      </c>
      <c r="AJ31" s="81" t="s">
        <v>177</v>
      </c>
      <c r="AK31" s="81">
        <v>45072.125</v>
      </c>
      <c r="AL31" s="81" t="s">
        <v>178</v>
      </c>
      <c r="AM31" s="81" t="s">
        <v>179</v>
      </c>
      <c r="AN31" s="81">
        <v>0</v>
      </c>
      <c r="AO31" s="80">
        <f t="shared" si="0"/>
        <v>0</v>
      </c>
    </row>
    <row r="32" spans="1:41">
      <c r="A32" s="81" t="s">
        <v>60</v>
      </c>
      <c r="B32" s="81" t="s">
        <v>125</v>
      </c>
      <c r="C32" s="81" t="s">
        <v>168</v>
      </c>
      <c r="D32" s="81" t="s">
        <v>169</v>
      </c>
      <c r="E32" s="81" t="s">
        <v>234</v>
      </c>
      <c r="F32" s="81" t="s">
        <v>234</v>
      </c>
      <c r="G32" s="81" t="s">
        <v>61</v>
      </c>
      <c r="H32" s="81">
        <v>18</v>
      </c>
      <c r="I32" s="81">
        <v>43515</v>
      </c>
      <c r="J32" s="81"/>
      <c r="K32" s="81" t="s">
        <v>62</v>
      </c>
      <c r="L32" s="81">
        <v>1.1000000000000001</v>
      </c>
      <c r="M32" s="81">
        <v>5</v>
      </c>
      <c r="N32" s="81" t="s">
        <v>55</v>
      </c>
      <c r="O32" s="81" t="s">
        <v>171</v>
      </c>
      <c r="P32" s="81" t="s">
        <v>411</v>
      </c>
      <c r="Q32" s="81">
        <v>44960</v>
      </c>
      <c r="R32" s="81" t="s">
        <v>412</v>
      </c>
      <c r="S32" s="81">
        <v>96</v>
      </c>
      <c r="T32" s="81" t="s">
        <v>173</v>
      </c>
      <c r="U32" s="81"/>
      <c r="V32" s="81"/>
      <c r="W32" s="81">
        <v>60</v>
      </c>
      <c r="X32" s="81">
        <v>5753.01</v>
      </c>
      <c r="Y32" s="81">
        <v>66</v>
      </c>
      <c r="Z32" s="81">
        <v>300</v>
      </c>
      <c r="AA32" s="81" t="s">
        <v>413</v>
      </c>
      <c r="AB32" s="81" t="s">
        <v>202</v>
      </c>
      <c r="AC32" s="81" t="s">
        <v>414</v>
      </c>
      <c r="AD32" s="81" t="s">
        <v>415</v>
      </c>
      <c r="AE32" s="81" t="s">
        <v>416</v>
      </c>
      <c r="AF32" s="81" t="s">
        <v>222</v>
      </c>
      <c r="AG32" s="81" t="s">
        <v>333</v>
      </c>
      <c r="AH32" s="81" t="s">
        <v>243</v>
      </c>
      <c r="AI32" s="81" t="s">
        <v>222</v>
      </c>
      <c r="AJ32" s="81" t="s">
        <v>205</v>
      </c>
      <c r="AK32" s="81">
        <v>45048.125</v>
      </c>
      <c r="AL32" s="81" t="s">
        <v>178</v>
      </c>
      <c r="AM32" s="81" t="s">
        <v>179</v>
      </c>
      <c r="AN32" s="81">
        <v>0</v>
      </c>
      <c r="AO32" s="80">
        <f t="shared" si="0"/>
        <v>0</v>
      </c>
    </row>
    <row r="33" spans="1:41">
      <c r="A33" s="81" t="s">
        <v>60</v>
      </c>
      <c r="B33" s="81" t="s">
        <v>125</v>
      </c>
      <c r="C33" s="81" t="s">
        <v>168</v>
      </c>
      <c r="D33" s="81" t="s">
        <v>169</v>
      </c>
      <c r="E33" s="81" t="s">
        <v>234</v>
      </c>
      <c r="F33" s="81" t="s">
        <v>234</v>
      </c>
      <c r="G33" s="81" t="s">
        <v>61</v>
      </c>
      <c r="H33" s="81">
        <v>18</v>
      </c>
      <c r="I33" s="81">
        <v>43515</v>
      </c>
      <c r="J33" s="81"/>
      <c r="K33" s="81" t="s">
        <v>62</v>
      </c>
      <c r="L33" s="81">
        <v>1.1000000000000001</v>
      </c>
      <c r="M33" s="81">
        <v>5</v>
      </c>
      <c r="N33" s="81" t="s">
        <v>55</v>
      </c>
      <c r="O33" s="81" t="s">
        <v>171</v>
      </c>
      <c r="P33" s="81" t="s">
        <v>411</v>
      </c>
      <c r="Q33" s="81">
        <v>44985</v>
      </c>
      <c r="R33" s="81" t="s">
        <v>417</v>
      </c>
      <c r="S33" s="81">
        <v>96.5</v>
      </c>
      <c r="T33" s="81" t="s">
        <v>173</v>
      </c>
      <c r="U33" s="81"/>
      <c r="V33" s="81"/>
      <c r="W33" s="81">
        <v>80</v>
      </c>
      <c r="X33" s="81">
        <v>6000</v>
      </c>
      <c r="Y33" s="81">
        <v>88</v>
      </c>
      <c r="Z33" s="81">
        <v>400</v>
      </c>
      <c r="AA33" s="81" t="s">
        <v>418</v>
      </c>
      <c r="AB33" s="81" t="s">
        <v>202</v>
      </c>
      <c r="AC33" s="81" t="s">
        <v>419</v>
      </c>
      <c r="AD33" s="81" t="s">
        <v>420</v>
      </c>
      <c r="AE33" s="81" t="s">
        <v>421</v>
      </c>
      <c r="AF33" s="81" t="s">
        <v>242</v>
      </c>
      <c r="AG33" s="81" t="s">
        <v>422</v>
      </c>
      <c r="AH33" s="81" t="s">
        <v>243</v>
      </c>
      <c r="AI33" s="81" t="s">
        <v>222</v>
      </c>
      <c r="AJ33" s="81" t="s">
        <v>205</v>
      </c>
      <c r="AK33" s="81">
        <v>45048.25</v>
      </c>
      <c r="AL33" s="81" t="s">
        <v>178</v>
      </c>
      <c r="AM33" s="81" t="s">
        <v>179</v>
      </c>
      <c r="AN33" s="81">
        <v>0</v>
      </c>
      <c r="AO33" s="80">
        <f t="shared" si="0"/>
        <v>0</v>
      </c>
    </row>
    <row r="34" spans="1:41">
      <c r="A34" s="81" t="s">
        <v>60</v>
      </c>
      <c r="B34" s="81" t="s">
        <v>125</v>
      </c>
      <c r="C34" s="81" t="s">
        <v>168</v>
      </c>
      <c r="D34" s="81" t="s">
        <v>169</v>
      </c>
      <c r="E34" s="81" t="s">
        <v>234</v>
      </c>
      <c r="F34" s="81" t="s">
        <v>234</v>
      </c>
      <c r="G34" s="81" t="s">
        <v>61</v>
      </c>
      <c r="H34" s="81">
        <v>18</v>
      </c>
      <c r="I34" s="81">
        <v>43515</v>
      </c>
      <c r="J34" s="81"/>
      <c r="K34" s="81" t="s">
        <v>62</v>
      </c>
      <c r="L34" s="81">
        <v>1.1000000000000001</v>
      </c>
      <c r="M34" s="81">
        <v>5</v>
      </c>
      <c r="N34" s="81" t="s">
        <v>55</v>
      </c>
      <c r="O34" s="81" t="s">
        <v>171</v>
      </c>
      <c r="P34" s="81" t="s">
        <v>411</v>
      </c>
      <c r="Q34" s="81">
        <v>44985</v>
      </c>
      <c r="R34" s="81" t="s">
        <v>423</v>
      </c>
      <c r="S34" s="81">
        <v>96.1</v>
      </c>
      <c r="T34" s="81" t="s">
        <v>173</v>
      </c>
      <c r="U34" s="81"/>
      <c r="V34" s="81"/>
      <c r="W34" s="81">
        <v>120</v>
      </c>
      <c r="X34" s="81">
        <v>6734.77</v>
      </c>
      <c r="Y34" s="81">
        <v>132</v>
      </c>
      <c r="Z34" s="81">
        <v>600</v>
      </c>
      <c r="AA34" s="81" t="s">
        <v>418</v>
      </c>
      <c r="AB34" s="81" t="s">
        <v>202</v>
      </c>
      <c r="AC34" s="81" t="s">
        <v>419</v>
      </c>
      <c r="AD34" s="81" t="s">
        <v>420</v>
      </c>
      <c r="AE34" s="81" t="s">
        <v>421</v>
      </c>
      <c r="AF34" s="81" t="s">
        <v>242</v>
      </c>
      <c r="AG34" s="81" t="s">
        <v>422</v>
      </c>
      <c r="AH34" s="81" t="s">
        <v>243</v>
      </c>
      <c r="AI34" s="81" t="s">
        <v>222</v>
      </c>
      <c r="AJ34" s="81" t="s">
        <v>205</v>
      </c>
      <c r="AK34" s="81">
        <v>45048.25</v>
      </c>
      <c r="AL34" s="81" t="s">
        <v>178</v>
      </c>
      <c r="AM34" s="81" t="s">
        <v>179</v>
      </c>
      <c r="AN34" s="81">
        <v>0</v>
      </c>
      <c r="AO34" s="80">
        <f t="shared" si="0"/>
        <v>0</v>
      </c>
    </row>
    <row r="35" spans="1:41">
      <c r="A35" s="81" t="s">
        <v>60</v>
      </c>
      <c r="B35" s="81" t="s">
        <v>125</v>
      </c>
      <c r="C35" s="81" t="s">
        <v>168</v>
      </c>
      <c r="D35" s="81" t="s">
        <v>169</v>
      </c>
      <c r="E35" s="81" t="s">
        <v>234</v>
      </c>
      <c r="F35" s="81" t="s">
        <v>234</v>
      </c>
      <c r="G35" s="81" t="s">
        <v>61</v>
      </c>
      <c r="H35" s="81">
        <v>18</v>
      </c>
      <c r="I35" s="81">
        <v>43515</v>
      </c>
      <c r="J35" s="81"/>
      <c r="K35" s="81" t="s">
        <v>62</v>
      </c>
      <c r="L35" s="81">
        <v>1.1000000000000001</v>
      </c>
      <c r="M35" s="81">
        <v>5</v>
      </c>
      <c r="N35" s="81" t="s">
        <v>55</v>
      </c>
      <c r="O35" s="81" t="s">
        <v>171</v>
      </c>
      <c r="P35" s="81" t="s">
        <v>283</v>
      </c>
      <c r="Q35" s="81">
        <v>44731</v>
      </c>
      <c r="R35" s="81" t="s">
        <v>424</v>
      </c>
      <c r="S35" s="81">
        <v>96.3</v>
      </c>
      <c r="T35" s="81" t="s">
        <v>287</v>
      </c>
      <c r="U35" s="81"/>
      <c r="V35" s="81"/>
      <c r="W35" s="81">
        <v>100</v>
      </c>
      <c r="X35" s="81">
        <v>10805.5</v>
      </c>
      <c r="Y35" s="81">
        <v>110</v>
      </c>
      <c r="Z35" s="81">
        <v>500</v>
      </c>
      <c r="AA35" s="81" t="s">
        <v>425</v>
      </c>
      <c r="AB35" s="81" t="s">
        <v>174</v>
      </c>
      <c r="AC35" s="81" t="s">
        <v>426</v>
      </c>
      <c r="AD35" s="81" t="s">
        <v>427</v>
      </c>
      <c r="AE35" s="81" t="s">
        <v>428</v>
      </c>
      <c r="AF35" s="81" t="s">
        <v>175</v>
      </c>
      <c r="AG35" s="81" t="s">
        <v>429</v>
      </c>
      <c r="AH35" s="81" t="s">
        <v>175</v>
      </c>
      <c r="AI35" s="81" t="s">
        <v>175</v>
      </c>
      <c r="AJ35" s="81" t="s">
        <v>177</v>
      </c>
      <c r="AK35" s="81">
        <v>45052.125</v>
      </c>
      <c r="AL35" s="81" t="s">
        <v>178</v>
      </c>
      <c r="AM35" s="81" t="s">
        <v>179</v>
      </c>
      <c r="AN35" s="81">
        <v>0</v>
      </c>
      <c r="AO35" s="80">
        <f t="shared" si="0"/>
        <v>0</v>
      </c>
    </row>
    <row r="36" spans="1:41">
      <c r="A36" s="81" t="s">
        <v>60</v>
      </c>
      <c r="B36" s="81" t="s">
        <v>125</v>
      </c>
      <c r="C36" s="81" t="s">
        <v>168</v>
      </c>
      <c r="D36" s="81" t="s">
        <v>169</v>
      </c>
      <c r="E36" s="81" t="s">
        <v>234</v>
      </c>
      <c r="F36" s="81" t="s">
        <v>234</v>
      </c>
      <c r="G36" s="81" t="s">
        <v>61</v>
      </c>
      <c r="H36" s="81">
        <v>18</v>
      </c>
      <c r="I36" s="81">
        <v>43515</v>
      </c>
      <c r="J36" s="81"/>
      <c r="K36" s="81" t="s">
        <v>62</v>
      </c>
      <c r="L36" s="81">
        <v>1.1000000000000001</v>
      </c>
      <c r="M36" s="81">
        <v>5</v>
      </c>
      <c r="N36" s="81" t="s">
        <v>55</v>
      </c>
      <c r="O36" s="81" t="s">
        <v>171</v>
      </c>
      <c r="P36" s="81" t="s">
        <v>283</v>
      </c>
      <c r="Q36" s="81">
        <v>44731</v>
      </c>
      <c r="R36" s="81" t="s">
        <v>424</v>
      </c>
      <c r="S36" s="81">
        <v>96.3</v>
      </c>
      <c r="T36" s="81" t="s">
        <v>287</v>
      </c>
      <c r="U36" s="81"/>
      <c r="V36" s="81"/>
      <c r="W36" s="81">
        <v>100</v>
      </c>
      <c r="X36" s="81">
        <v>10805.5</v>
      </c>
      <c r="Y36" s="81">
        <v>110</v>
      </c>
      <c r="Z36" s="81">
        <v>500</v>
      </c>
      <c r="AA36" s="81" t="s">
        <v>425</v>
      </c>
      <c r="AB36" s="81" t="s">
        <v>174</v>
      </c>
      <c r="AC36" s="81" t="s">
        <v>426</v>
      </c>
      <c r="AD36" s="81" t="s">
        <v>427</v>
      </c>
      <c r="AE36" s="81" t="s">
        <v>428</v>
      </c>
      <c r="AF36" s="81" t="s">
        <v>175</v>
      </c>
      <c r="AG36" s="81" t="s">
        <v>429</v>
      </c>
      <c r="AH36" s="81" t="s">
        <v>175</v>
      </c>
      <c r="AI36" s="81" t="s">
        <v>175</v>
      </c>
      <c r="AJ36" s="81" t="s">
        <v>177</v>
      </c>
      <c r="AK36" s="81">
        <v>45052.125</v>
      </c>
      <c r="AL36" s="81" t="s">
        <v>178</v>
      </c>
      <c r="AM36" s="81" t="s">
        <v>179</v>
      </c>
      <c r="AN36" s="81">
        <v>0</v>
      </c>
      <c r="AO36" s="80">
        <f t="shared" si="0"/>
        <v>0</v>
      </c>
    </row>
    <row r="37" spans="1:41">
      <c r="A37" s="81" t="s">
        <v>58</v>
      </c>
      <c r="B37" s="81" t="s">
        <v>123</v>
      </c>
      <c r="C37" s="81" t="s">
        <v>168</v>
      </c>
      <c r="D37" s="81" t="s">
        <v>169</v>
      </c>
      <c r="E37" s="81" t="s">
        <v>228</v>
      </c>
      <c r="F37" s="81" t="s">
        <v>229</v>
      </c>
      <c r="G37" s="81" t="s">
        <v>9</v>
      </c>
      <c r="H37" s="81">
        <v>18</v>
      </c>
      <c r="I37" s="81">
        <v>43515</v>
      </c>
      <c r="J37" s="81"/>
      <c r="K37" s="81" t="s">
        <v>64</v>
      </c>
      <c r="L37" s="81">
        <v>22</v>
      </c>
      <c r="M37" s="81">
        <v>120</v>
      </c>
      <c r="N37" s="81" t="s">
        <v>59</v>
      </c>
      <c r="O37" s="81" t="s">
        <v>171</v>
      </c>
      <c r="P37" s="81" t="s">
        <v>430</v>
      </c>
      <c r="Q37" s="81">
        <v>44620</v>
      </c>
      <c r="R37" s="81" t="s">
        <v>431</v>
      </c>
      <c r="S37" s="81">
        <v>92</v>
      </c>
      <c r="T37" s="81" t="s">
        <v>287</v>
      </c>
      <c r="U37" s="81"/>
      <c r="V37" s="81"/>
      <c r="W37" s="81">
        <v>4.8</v>
      </c>
      <c r="X37" s="81">
        <v>1827.54</v>
      </c>
      <c r="Y37" s="81">
        <v>105.6</v>
      </c>
      <c r="Z37" s="81">
        <v>576</v>
      </c>
      <c r="AA37" s="81" t="s">
        <v>432</v>
      </c>
      <c r="AB37" s="81" t="s">
        <v>208</v>
      </c>
      <c r="AC37" s="81" t="s">
        <v>433</v>
      </c>
      <c r="AD37" s="81" t="s">
        <v>434</v>
      </c>
      <c r="AE37" s="81" t="s">
        <v>435</v>
      </c>
      <c r="AF37" s="81" t="s">
        <v>436</v>
      </c>
      <c r="AG37" s="81" t="s">
        <v>437</v>
      </c>
      <c r="AH37" s="81" t="s">
        <v>209</v>
      </c>
      <c r="AI37" s="81" t="s">
        <v>210</v>
      </c>
      <c r="AJ37" s="81" t="s">
        <v>205</v>
      </c>
      <c r="AK37" s="81">
        <v>45063.125</v>
      </c>
      <c r="AL37" s="81" t="s">
        <v>178</v>
      </c>
      <c r="AM37" s="81" t="s">
        <v>179</v>
      </c>
      <c r="AN37" s="81">
        <v>0</v>
      </c>
      <c r="AO37" s="80">
        <f t="shared" si="0"/>
        <v>0</v>
      </c>
    </row>
    <row r="38" spans="1:41">
      <c r="A38" s="81" t="s">
        <v>6</v>
      </c>
      <c r="B38" s="81" t="s">
        <v>122</v>
      </c>
      <c r="C38" s="81" t="s">
        <v>168</v>
      </c>
      <c r="D38" s="81" t="s">
        <v>169</v>
      </c>
      <c r="E38" s="81" t="s">
        <v>235</v>
      </c>
      <c r="F38" s="81" t="s">
        <v>6</v>
      </c>
      <c r="G38" s="81" t="s">
        <v>63</v>
      </c>
      <c r="H38" s="81">
        <v>18</v>
      </c>
      <c r="I38" s="81">
        <v>43515</v>
      </c>
      <c r="J38" s="81"/>
      <c r="K38" s="81" t="s">
        <v>11</v>
      </c>
      <c r="L38" s="81">
        <v>4.33</v>
      </c>
      <c r="M38" s="81">
        <v>15</v>
      </c>
      <c r="N38" s="81" t="s">
        <v>55</v>
      </c>
      <c r="O38" s="81" t="s">
        <v>171</v>
      </c>
      <c r="P38" s="81" t="s">
        <v>438</v>
      </c>
      <c r="Q38" s="81">
        <v>44925</v>
      </c>
      <c r="R38" s="81" t="s">
        <v>439</v>
      </c>
      <c r="S38" s="81"/>
      <c r="T38" s="81" t="s">
        <v>173</v>
      </c>
      <c r="U38" s="81"/>
      <c r="V38" s="81"/>
      <c r="W38" s="81">
        <v>150</v>
      </c>
      <c r="X38" s="81">
        <v>3041.04</v>
      </c>
      <c r="Y38" s="81">
        <v>649.5</v>
      </c>
      <c r="Z38" s="81">
        <v>2250</v>
      </c>
      <c r="AA38" s="81" t="s">
        <v>432</v>
      </c>
      <c r="AB38" s="81" t="s">
        <v>208</v>
      </c>
      <c r="AC38" s="81" t="s">
        <v>433</v>
      </c>
      <c r="AD38" s="81" t="s">
        <v>434</v>
      </c>
      <c r="AE38" s="81" t="s">
        <v>435</v>
      </c>
      <c r="AF38" s="81" t="s">
        <v>436</v>
      </c>
      <c r="AG38" s="81" t="s">
        <v>437</v>
      </c>
      <c r="AH38" s="81" t="s">
        <v>209</v>
      </c>
      <c r="AI38" s="81" t="s">
        <v>210</v>
      </c>
      <c r="AJ38" s="81" t="s">
        <v>205</v>
      </c>
      <c r="AK38" s="81">
        <v>45063.125</v>
      </c>
      <c r="AL38" s="81" t="s">
        <v>178</v>
      </c>
      <c r="AM38" s="81" t="s">
        <v>179</v>
      </c>
      <c r="AN38" s="81">
        <v>0</v>
      </c>
      <c r="AO38" s="80">
        <f t="shared" si="0"/>
        <v>0</v>
      </c>
    </row>
    <row r="39" spans="1:41">
      <c r="A39" s="81" t="s">
        <v>6</v>
      </c>
      <c r="B39" s="81" t="s">
        <v>122</v>
      </c>
      <c r="C39" s="81" t="s">
        <v>168</v>
      </c>
      <c r="D39" s="81" t="s">
        <v>169</v>
      </c>
      <c r="E39" s="81" t="s">
        <v>235</v>
      </c>
      <c r="F39" s="81" t="s">
        <v>6</v>
      </c>
      <c r="G39" s="81" t="s">
        <v>63</v>
      </c>
      <c r="H39" s="81">
        <v>18</v>
      </c>
      <c r="I39" s="81">
        <v>43515</v>
      </c>
      <c r="J39" s="81"/>
      <c r="K39" s="81" t="s">
        <v>11</v>
      </c>
      <c r="L39" s="81">
        <v>4.33</v>
      </c>
      <c r="M39" s="81">
        <v>15</v>
      </c>
      <c r="N39" s="81" t="s">
        <v>55</v>
      </c>
      <c r="O39" s="81" t="s">
        <v>171</v>
      </c>
      <c r="P39" s="81" t="s">
        <v>438</v>
      </c>
      <c r="Q39" s="81">
        <v>44925</v>
      </c>
      <c r="R39" s="81" t="s">
        <v>440</v>
      </c>
      <c r="S39" s="81"/>
      <c r="T39" s="81" t="s">
        <v>173</v>
      </c>
      <c r="U39" s="81"/>
      <c r="V39" s="81"/>
      <c r="W39" s="81">
        <v>60</v>
      </c>
      <c r="X39" s="81">
        <v>1610.45</v>
      </c>
      <c r="Y39" s="81">
        <v>259.8</v>
      </c>
      <c r="Z39" s="81">
        <v>900</v>
      </c>
      <c r="AA39" s="81" t="s">
        <v>432</v>
      </c>
      <c r="AB39" s="81" t="s">
        <v>208</v>
      </c>
      <c r="AC39" s="81" t="s">
        <v>433</v>
      </c>
      <c r="AD39" s="81" t="s">
        <v>434</v>
      </c>
      <c r="AE39" s="81" t="s">
        <v>435</v>
      </c>
      <c r="AF39" s="81" t="s">
        <v>436</v>
      </c>
      <c r="AG39" s="81" t="s">
        <v>437</v>
      </c>
      <c r="AH39" s="81" t="s">
        <v>209</v>
      </c>
      <c r="AI39" s="81" t="s">
        <v>210</v>
      </c>
      <c r="AJ39" s="81" t="s">
        <v>205</v>
      </c>
      <c r="AK39" s="81">
        <v>45063.125</v>
      </c>
      <c r="AL39" s="81" t="s">
        <v>178</v>
      </c>
      <c r="AM39" s="81" t="s">
        <v>179</v>
      </c>
      <c r="AN39" s="81">
        <v>0</v>
      </c>
      <c r="AO39" s="80">
        <f t="shared" si="0"/>
        <v>0</v>
      </c>
    </row>
    <row r="40" spans="1:41">
      <c r="A40" s="81" t="s">
        <v>6</v>
      </c>
      <c r="B40" s="81" t="s">
        <v>122</v>
      </c>
      <c r="C40" s="81" t="s">
        <v>168</v>
      </c>
      <c r="D40" s="81" t="s">
        <v>169</v>
      </c>
      <c r="E40" s="81" t="s">
        <v>235</v>
      </c>
      <c r="F40" s="81" t="s">
        <v>6</v>
      </c>
      <c r="G40" s="81" t="s">
        <v>63</v>
      </c>
      <c r="H40" s="81">
        <v>18</v>
      </c>
      <c r="I40" s="81">
        <v>43515</v>
      </c>
      <c r="J40" s="81"/>
      <c r="K40" s="81" t="s">
        <v>11</v>
      </c>
      <c r="L40" s="81">
        <v>4.33</v>
      </c>
      <c r="M40" s="81">
        <v>15</v>
      </c>
      <c r="N40" s="81" t="s">
        <v>55</v>
      </c>
      <c r="O40" s="81" t="s">
        <v>171</v>
      </c>
      <c r="P40" s="81" t="s">
        <v>438</v>
      </c>
      <c r="Q40" s="81">
        <v>44925</v>
      </c>
      <c r="R40" s="81" t="s">
        <v>440</v>
      </c>
      <c r="S40" s="81"/>
      <c r="T40" s="81" t="s">
        <v>173</v>
      </c>
      <c r="U40" s="81"/>
      <c r="V40" s="81"/>
      <c r="W40" s="81">
        <v>60</v>
      </c>
      <c r="X40" s="81">
        <v>1610.45</v>
      </c>
      <c r="Y40" s="81">
        <v>259.8</v>
      </c>
      <c r="Z40" s="81">
        <v>900</v>
      </c>
      <c r="AA40" s="81" t="s">
        <v>432</v>
      </c>
      <c r="AB40" s="81" t="s">
        <v>208</v>
      </c>
      <c r="AC40" s="81" t="s">
        <v>433</v>
      </c>
      <c r="AD40" s="81" t="s">
        <v>434</v>
      </c>
      <c r="AE40" s="81" t="s">
        <v>435</v>
      </c>
      <c r="AF40" s="81" t="s">
        <v>436</v>
      </c>
      <c r="AG40" s="81" t="s">
        <v>437</v>
      </c>
      <c r="AH40" s="81" t="s">
        <v>209</v>
      </c>
      <c r="AI40" s="81" t="s">
        <v>210</v>
      </c>
      <c r="AJ40" s="81" t="s">
        <v>205</v>
      </c>
      <c r="AK40" s="81">
        <v>45063.125</v>
      </c>
      <c r="AL40" s="81" t="s">
        <v>178</v>
      </c>
      <c r="AM40" s="81" t="s">
        <v>179</v>
      </c>
      <c r="AN40" s="81">
        <v>0</v>
      </c>
      <c r="AO40" s="80">
        <f t="shared" si="0"/>
        <v>0</v>
      </c>
    </row>
    <row r="41" spans="1:41">
      <c r="A41" s="81" t="s">
        <v>6</v>
      </c>
      <c r="B41" s="81" t="s">
        <v>122</v>
      </c>
      <c r="C41" s="81" t="s">
        <v>168</v>
      </c>
      <c r="D41" s="81" t="s">
        <v>169</v>
      </c>
      <c r="E41" s="81" t="s">
        <v>235</v>
      </c>
      <c r="F41" s="81" t="s">
        <v>6</v>
      </c>
      <c r="G41" s="81" t="s">
        <v>63</v>
      </c>
      <c r="H41" s="81">
        <v>18</v>
      </c>
      <c r="I41" s="81">
        <v>43515</v>
      </c>
      <c r="J41" s="81"/>
      <c r="K41" s="81" t="s">
        <v>11</v>
      </c>
      <c r="L41" s="81">
        <v>4.33</v>
      </c>
      <c r="M41" s="81">
        <v>15</v>
      </c>
      <c r="N41" s="81" t="s">
        <v>55</v>
      </c>
      <c r="O41" s="81" t="s">
        <v>171</v>
      </c>
      <c r="P41" s="81" t="s">
        <v>438</v>
      </c>
      <c r="Q41" s="81">
        <v>44925</v>
      </c>
      <c r="R41" s="81" t="s">
        <v>440</v>
      </c>
      <c r="S41" s="81"/>
      <c r="T41" s="81" t="s">
        <v>173</v>
      </c>
      <c r="U41" s="81"/>
      <c r="V41" s="81"/>
      <c r="W41" s="81">
        <v>60</v>
      </c>
      <c r="X41" s="81">
        <v>1610.45</v>
      </c>
      <c r="Y41" s="81">
        <v>259.8</v>
      </c>
      <c r="Z41" s="81">
        <v>900</v>
      </c>
      <c r="AA41" s="81" t="s">
        <v>432</v>
      </c>
      <c r="AB41" s="81" t="s">
        <v>208</v>
      </c>
      <c r="AC41" s="81" t="s">
        <v>433</v>
      </c>
      <c r="AD41" s="81" t="s">
        <v>434</v>
      </c>
      <c r="AE41" s="81" t="s">
        <v>435</v>
      </c>
      <c r="AF41" s="81" t="s">
        <v>436</v>
      </c>
      <c r="AG41" s="81" t="s">
        <v>437</v>
      </c>
      <c r="AH41" s="81" t="s">
        <v>209</v>
      </c>
      <c r="AI41" s="81" t="s">
        <v>210</v>
      </c>
      <c r="AJ41" s="81" t="s">
        <v>205</v>
      </c>
      <c r="AK41" s="81">
        <v>45063.125</v>
      </c>
      <c r="AL41" s="81" t="s">
        <v>178</v>
      </c>
      <c r="AM41" s="81" t="s">
        <v>179</v>
      </c>
      <c r="AN41" s="81">
        <v>0</v>
      </c>
      <c r="AO41" s="80">
        <f t="shared" si="0"/>
        <v>0</v>
      </c>
    </row>
    <row r="42" spans="1:41">
      <c r="A42" s="81" t="s">
        <v>60</v>
      </c>
      <c r="B42" s="81" t="s">
        <v>125</v>
      </c>
      <c r="C42" s="81" t="s">
        <v>168</v>
      </c>
      <c r="D42" s="81" t="s">
        <v>169</v>
      </c>
      <c r="E42" s="81" t="s">
        <v>234</v>
      </c>
      <c r="F42" s="81" t="s">
        <v>234</v>
      </c>
      <c r="G42" s="81" t="s">
        <v>61</v>
      </c>
      <c r="H42" s="81">
        <v>18</v>
      </c>
      <c r="I42" s="81">
        <v>43515</v>
      </c>
      <c r="J42" s="81"/>
      <c r="K42" s="81" t="s">
        <v>62</v>
      </c>
      <c r="L42" s="81">
        <v>1.1000000000000001</v>
      </c>
      <c r="M42" s="81">
        <v>5</v>
      </c>
      <c r="N42" s="81" t="s">
        <v>55</v>
      </c>
      <c r="O42" s="81" t="s">
        <v>171</v>
      </c>
      <c r="P42" s="81" t="s">
        <v>278</v>
      </c>
      <c r="Q42" s="81">
        <v>44914</v>
      </c>
      <c r="R42" s="81" t="s">
        <v>441</v>
      </c>
      <c r="S42" s="81">
        <v>96</v>
      </c>
      <c r="T42" s="81" t="s">
        <v>173</v>
      </c>
      <c r="U42" s="81"/>
      <c r="V42" s="81"/>
      <c r="W42" s="81">
        <v>100</v>
      </c>
      <c r="X42" s="81">
        <v>7756</v>
      </c>
      <c r="Y42" s="81">
        <v>110</v>
      </c>
      <c r="Z42" s="81">
        <v>500</v>
      </c>
      <c r="AA42" s="81" t="s">
        <v>279</v>
      </c>
      <c r="AB42" s="81" t="s">
        <v>174</v>
      </c>
      <c r="AC42" s="81" t="s">
        <v>317</v>
      </c>
      <c r="AD42" s="81" t="s">
        <v>318</v>
      </c>
      <c r="AE42" s="81" t="s">
        <v>319</v>
      </c>
      <c r="AF42" s="81" t="s">
        <v>175</v>
      </c>
      <c r="AG42" s="81" t="s">
        <v>281</v>
      </c>
      <c r="AH42" s="81" t="s">
        <v>175</v>
      </c>
      <c r="AI42" s="81" t="s">
        <v>175</v>
      </c>
      <c r="AJ42" s="81" t="s">
        <v>177</v>
      </c>
      <c r="AK42" s="81">
        <v>45016.125</v>
      </c>
      <c r="AL42" s="81" t="s">
        <v>178</v>
      </c>
      <c r="AM42" s="81" t="s">
        <v>179</v>
      </c>
      <c r="AN42" s="81">
        <v>0</v>
      </c>
      <c r="AO42" s="80">
        <f t="shared" si="0"/>
        <v>0</v>
      </c>
    </row>
    <row r="43" spans="1:41">
      <c r="A43" s="81" t="s">
        <v>60</v>
      </c>
      <c r="B43" s="81" t="s">
        <v>125</v>
      </c>
      <c r="C43" s="81" t="s">
        <v>168</v>
      </c>
      <c r="D43" s="81" t="s">
        <v>169</v>
      </c>
      <c r="E43" s="81" t="s">
        <v>234</v>
      </c>
      <c r="F43" s="81" t="s">
        <v>234</v>
      </c>
      <c r="G43" s="81" t="s">
        <v>61</v>
      </c>
      <c r="H43" s="81">
        <v>18</v>
      </c>
      <c r="I43" s="81">
        <v>43515</v>
      </c>
      <c r="J43" s="81"/>
      <c r="K43" s="81" t="s">
        <v>62</v>
      </c>
      <c r="L43" s="81">
        <v>1.1000000000000001</v>
      </c>
      <c r="M43" s="81">
        <v>5</v>
      </c>
      <c r="N43" s="81" t="s">
        <v>55</v>
      </c>
      <c r="O43" s="81" t="s">
        <v>171</v>
      </c>
      <c r="P43" s="81" t="s">
        <v>196</v>
      </c>
      <c r="Q43" s="81">
        <v>44925</v>
      </c>
      <c r="R43" s="81" t="s">
        <v>442</v>
      </c>
      <c r="S43" s="81">
        <v>92</v>
      </c>
      <c r="T43" s="81" t="s">
        <v>173</v>
      </c>
      <c r="U43" s="81"/>
      <c r="V43" s="81"/>
      <c r="W43" s="81">
        <v>267</v>
      </c>
      <c r="X43" s="81">
        <v>10464</v>
      </c>
      <c r="Y43" s="81">
        <v>293.7</v>
      </c>
      <c r="Z43" s="81">
        <v>1335</v>
      </c>
      <c r="AA43" s="81" t="s">
        <v>443</v>
      </c>
      <c r="AB43" s="81" t="s">
        <v>174</v>
      </c>
      <c r="AC43" s="81" t="s">
        <v>444</v>
      </c>
      <c r="AD43" s="81" t="s">
        <v>445</v>
      </c>
      <c r="AE43" s="81" t="s">
        <v>446</v>
      </c>
      <c r="AF43" s="81" t="s">
        <v>216</v>
      </c>
      <c r="AG43" s="81" t="s">
        <v>218</v>
      </c>
      <c r="AH43" s="81" t="s">
        <v>217</v>
      </c>
      <c r="AI43" s="81" t="s">
        <v>182</v>
      </c>
      <c r="AJ43" s="81" t="s">
        <v>177</v>
      </c>
      <c r="AK43" s="81">
        <v>45044.125</v>
      </c>
      <c r="AL43" s="81" t="s">
        <v>178</v>
      </c>
      <c r="AM43" s="81" t="s">
        <v>179</v>
      </c>
      <c r="AN43" s="81">
        <v>0</v>
      </c>
      <c r="AO43" s="80">
        <f t="shared" si="0"/>
        <v>0</v>
      </c>
    </row>
    <row r="44" spans="1:41">
      <c r="A44" s="81" t="s">
        <v>60</v>
      </c>
      <c r="B44" s="81" t="s">
        <v>125</v>
      </c>
      <c r="C44" s="81" t="s">
        <v>168</v>
      </c>
      <c r="D44" s="81" t="s">
        <v>169</v>
      </c>
      <c r="E44" s="81" t="s">
        <v>234</v>
      </c>
      <c r="F44" s="81" t="s">
        <v>234</v>
      </c>
      <c r="G44" s="81" t="s">
        <v>61</v>
      </c>
      <c r="H44" s="81">
        <v>18</v>
      </c>
      <c r="I44" s="81">
        <v>43515</v>
      </c>
      <c r="J44" s="81"/>
      <c r="K44" s="81" t="s">
        <v>62</v>
      </c>
      <c r="L44" s="81">
        <v>1.1000000000000001</v>
      </c>
      <c r="M44" s="81">
        <v>5</v>
      </c>
      <c r="N44" s="81" t="s">
        <v>55</v>
      </c>
      <c r="O44" s="81" t="s">
        <v>171</v>
      </c>
      <c r="P44" s="81" t="s">
        <v>447</v>
      </c>
      <c r="Q44" s="81">
        <v>44966</v>
      </c>
      <c r="R44" s="81" t="s">
        <v>285</v>
      </c>
      <c r="S44" s="81">
        <v>95</v>
      </c>
      <c r="T44" s="81" t="s">
        <v>448</v>
      </c>
      <c r="U44" s="81"/>
      <c r="V44" s="81"/>
      <c r="W44" s="81">
        <v>100</v>
      </c>
      <c r="X44" s="81">
        <v>2522</v>
      </c>
      <c r="Y44" s="81">
        <v>110</v>
      </c>
      <c r="Z44" s="81">
        <v>500</v>
      </c>
      <c r="AA44" s="81" t="s">
        <v>449</v>
      </c>
      <c r="AB44" s="81" t="s">
        <v>174</v>
      </c>
      <c r="AC44" s="81" t="s">
        <v>450</v>
      </c>
      <c r="AD44" s="81" t="s">
        <v>451</v>
      </c>
      <c r="AE44" s="81" t="s">
        <v>452</v>
      </c>
      <c r="AF44" s="81" t="s">
        <v>182</v>
      </c>
      <c r="AG44" s="81" t="s">
        <v>453</v>
      </c>
      <c r="AH44" s="81" t="s">
        <v>181</v>
      </c>
      <c r="AI44" s="81" t="s">
        <v>182</v>
      </c>
      <c r="AJ44" s="81" t="s">
        <v>177</v>
      </c>
      <c r="AK44" s="81">
        <v>45044.125</v>
      </c>
      <c r="AL44" s="81" t="s">
        <v>178</v>
      </c>
      <c r="AM44" s="81" t="s">
        <v>179</v>
      </c>
      <c r="AN44" s="81">
        <v>0</v>
      </c>
      <c r="AO44" s="80">
        <f t="shared" si="0"/>
        <v>0</v>
      </c>
    </row>
    <row r="45" spans="1:41">
      <c r="A45" s="81" t="s">
        <v>60</v>
      </c>
      <c r="B45" s="81" t="s">
        <v>125</v>
      </c>
      <c r="C45" s="81" t="s">
        <v>168</v>
      </c>
      <c r="D45" s="81" t="s">
        <v>169</v>
      </c>
      <c r="E45" s="81" t="s">
        <v>234</v>
      </c>
      <c r="F45" s="81" t="s">
        <v>234</v>
      </c>
      <c r="G45" s="81" t="s">
        <v>61</v>
      </c>
      <c r="H45" s="81">
        <v>18</v>
      </c>
      <c r="I45" s="81">
        <v>43515</v>
      </c>
      <c r="J45" s="81"/>
      <c r="K45" s="81" t="s">
        <v>62</v>
      </c>
      <c r="L45" s="81">
        <v>1.1000000000000001</v>
      </c>
      <c r="M45" s="81">
        <v>5</v>
      </c>
      <c r="N45" s="81" t="s">
        <v>55</v>
      </c>
      <c r="O45" s="81" t="s">
        <v>171</v>
      </c>
      <c r="P45" s="81" t="s">
        <v>454</v>
      </c>
      <c r="Q45" s="81">
        <v>44863</v>
      </c>
      <c r="R45" s="81" t="s">
        <v>455</v>
      </c>
      <c r="S45" s="81">
        <v>96.3</v>
      </c>
      <c r="T45" s="81" t="s">
        <v>287</v>
      </c>
      <c r="U45" s="81"/>
      <c r="V45" s="81"/>
      <c r="W45" s="81">
        <v>60</v>
      </c>
      <c r="X45" s="81">
        <v>2853</v>
      </c>
      <c r="Y45" s="81">
        <v>66</v>
      </c>
      <c r="Z45" s="81">
        <v>300</v>
      </c>
      <c r="AA45" s="81" t="s">
        <v>456</v>
      </c>
      <c r="AB45" s="81" t="s">
        <v>202</v>
      </c>
      <c r="AC45" s="81" t="s">
        <v>457</v>
      </c>
      <c r="AD45" s="81" t="s">
        <v>458</v>
      </c>
      <c r="AE45" s="81" t="s">
        <v>459</v>
      </c>
      <c r="AF45" s="81" t="s">
        <v>206</v>
      </c>
      <c r="AG45" s="81" t="s">
        <v>460</v>
      </c>
      <c r="AH45" s="81" t="s">
        <v>206</v>
      </c>
      <c r="AI45" s="81" t="s">
        <v>206</v>
      </c>
      <c r="AJ45" s="81" t="s">
        <v>177</v>
      </c>
      <c r="AK45" s="81">
        <v>45048.125</v>
      </c>
      <c r="AL45" s="81" t="s">
        <v>178</v>
      </c>
      <c r="AM45" s="81" t="s">
        <v>179</v>
      </c>
      <c r="AN45" s="81">
        <v>0</v>
      </c>
      <c r="AO45" s="80">
        <f t="shared" si="0"/>
        <v>0</v>
      </c>
    </row>
    <row r="46" spans="1:41">
      <c r="A46" s="81" t="s">
        <v>60</v>
      </c>
      <c r="B46" s="81" t="s">
        <v>125</v>
      </c>
      <c r="C46" s="81" t="s">
        <v>168</v>
      </c>
      <c r="D46" s="81" t="s">
        <v>169</v>
      </c>
      <c r="E46" s="81" t="s">
        <v>234</v>
      </c>
      <c r="F46" s="81" t="s">
        <v>234</v>
      </c>
      <c r="G46" s="81" t="s">
        <v>61</v>
      </c>
      <c r="H46" s="81">
        <v>18</v>
      </c>
      <c r="I46" s="81">
        <v>43515</v>
      </c>
      <c r="J46" s="81"/>
      <c r="K46" s="81" t="s">
        <v>62</v>
      </c>
      <c r="L46" s="81">
        <v>1.1000000000000001</v>
      </c>
      <c r="M46" s="81">
        <v>5</v>
      </c>
      <c r="N46" s="81" t="s">
        <v>55</v>
      </c>
      <c r="O46" s="81" t="s">
        <v>171</v>
      </c>
      <c r="P46" s="81" t="s">
        <v>454</v>
      </c>
      <c r="Q46" s="81">
        <v>44863</v>
      </c>
      <c r="R46" s="81" t="s">
        <v>461</v>
      </c>
      <c r="S46" s="81">
        <v>96.5</v>
      </c>
      <c r="T46" s="81" t="s">
        <v>287</v>
      </c>
      <c r="U46" s="81"/>
      <c r="V46" s="81"/>
      <c r="W46" s="81">
        <v>80</v>
      </c>
      <c r="X46" s="81">
        <v>2853</v>
      </c>
      <c r="Y46" s="81">
        <v>88</v>
      </c>
      <c r="Z46" s="81">
        <v>400</v>
      </c>
      <c r="AA46" s="81" t="s">
        <v>456</v>
      </c>
      <c r="AB46" s="81" t="s">
        <v>202</v>
      </c>
      <c r="AC46" s="81" t="s">
        <v>457</v>
      </c>
      <c r="AD46" s="81" t="s">
        <v>458</v>
      </c>
      <c r="AE46" s="81" t="s">
        <v>459</v>
      </c>
      <c r="AF46" s="81" t="s">
        <v>206</v>
      </c>
      <c r="AG46" s="81" t="s">
        <v>460</v>
      </c>
      <c r="AH46" s="81" t="s">
        <v>206</v>
      </c>
      <c r="AI46" s="81" t="s">
        <v>206</v>
      </c>
      <c r="AJ46" s="81" t="s">
        <v>177</v>
      </c>
      <c r="AK46" s="81">
        <v>45048.125</v>
      </c>
      <c r="AL46" s="81" t="s">
        <v>178</v>
      </c>
      <c r="AM46" s="81" t="s">
        <v>179</v>
      </c>
      <c r="AN46" s="81">
        <v>0</v>
      </c>
      <c r="AO46" s="80">
        <f t="shared" si="0"/>
        <v>0</v>
      </c>
    </row>
    <row r="47" spans="1:41">
      <c r="A47" s="81" t="s">
        <v>60</v>
      </c>
      <c r="B47" s="81" t="s">
        <v>125</v>
      </c>
      <c r="C47" s="81" t="s">
        <v>168</v>
      </c>
      <c r="D47" s="81" t="s">
        <v>169</v>
      </c>
      <c r="E47" s="81" t="s">
        <v>234</v>
      </c>
      <c r="F47" s="81" t="s">
        <v>234</v>
      </c>
      <c r="G47" s="81" t="s">
        <v>61</v>
      </c>
      <c r="H47" s="81">
        <v>18</v>
      </c>
      <c r="I47" s="81">
        <v>43515</v>
      </c>
      <c r="J47" s="81"/>
      <c r="K47" s="81" t="s">
        <v>62</v>
      </c>
      <c r="L47" s="81">
        <v>1.1000000000000001</v>
      </c>
      <c r="M47" s="81">
        <v>5</v>
      </c>
      <c r="N47" s="81" t="s">
        <v>55</v>
      </c>
      <c r="O47" s="81" t="s">
        <v>171</v>
      </c>
      <c r="P47" s="81" t="s">
        <v>454</v>
      </c>
      <c r="Q47" s="81">
        <v>44863</v>
      </c>
      <c r="R47" s="81" t="s">
        <v>462</v>
      </c>
      <c r="S47" s="81">
        <v>96.5</v>
      </c>
      <c r="T47" s="81" t="s">
        <v>287</v>
      </c>
      <c r="U47" s="81"/>
      <c r="V47" s="81"/>
      <c r="W47" s="81">
        <v>120</v>
      </c>
      <c r="X47" s="81">
        <v>2853</v>
      </c>
      <c r="Y47" s="81">
        <v>132</v>
      </c>
      <c r="Z47" s="81">
        <v>600</v>
      </c>
      <c r="AA47" s="81" t="s">
        <v>456</v>
      </c>
      <c r="AB47" s="81" t="s">
        <v>202</v>
      </c>
      <c r="AC47" s="81" t="s">
        <v>457</v>
      </c>
      <c r="AD47" s="81" t="s">
        <v>458</v>
      </c>
      <c r="AE47" s="81" t="s">
        <v>459</v>
      </c>
      <c r="AF47" s="81" t="s">
        <v>206</v>
      </c>
      <c r="AG47" s="81" t="s">
        <v>460</v>
      </c>
      <c r="AH47" s="81" t="s">
        <v>206</v>
      </c>
      <c r="AI47" s="81" t="s">
        <v>206</v>
      </c>
      <c r="AJ47" s="81" t="s">
        <v>177</v>
      </c>
      <c r="AK47" s="81">
        <v>45048.125</v>
      </c>
      <c r="AL47" s="81" t="s">
        <v>178</v>
      </c>
      <c r="AM47" s="81" t="s">
        <v>179</v>
      </c>
      <c r="AN47" s="81">
        <v>0</v>
      </c>
      <c r="AO47" s="80">
        <f t="shared" si="0"/>
        <v>0</v>
      </c>
    </row>
    <row r="48" spans="1:41">
      <c r="A48" s="81" t="s">
        <v>60</v>
      </c>
      <c r="B48" s="81" t="s">
        <v>125</v>
      </c>
      <c r="C48" s="81" t="s">
        <v>168</v>
      </c>
      <c r="D48" s="81" t="s">
        <v>169</v>
      </c>
      <c r="E48" s="81" t="s">
        <v>234</v>
      </c>
      <c r="F48" s="81" t="s">
        <v>234</v>
      </c>
      <c r="G48" s="81" t="s">
        <v>61</v>
      </c>
      <c r="H48" s="81">
        <v>18</v>
      </c>
      <c r="I48" s="81">
        <v>43515</v>
      </c>
      <c r="J48" s="81"/>
      <c r="K48" s="81" t="s">
        <v>62</v>
      </c>
      <c r="L48" s="81">
        <v>1.1000000000000001</v>
      </c>
      <c r="M48" s="81">
        <v>5</v>
      </c>
      <c r="N48" s="81" t="s">
        <v>55</v>
      </c>
      <c r="O48" s="81" t="s">
        <v>171</v>
      </c>
      <c r="P48" s="81" t="s">
        <v>463</v>
      </c>
      <c r="Q48" s="81">
        <v>45044</v>
      </c>
      <c r="R48" s="81" t="s">
        <v>464</v>
      </c>
      <c r="S48" s="81">
        <v>96</v>
      </c>
      <c r="T48" s="81" t="s">
        <v>173</v>
      </c>
      <c r="U48" s="81"/>
      <c r="V48" s="81"/>
      <c r="W48" s="81">
        <v>80</v>
      </c>
      <c r="X48" s="81">
        <v>12916</v>
      </c>
      <c r="Y48" s="81">
        <v>88</v>
      </c>
      <c r="Z48" s="81">
        <v>400</v>
      </c>
      <c r="AA48" s="81" t="s">
        <v>465</v>
      </c>
      <c r="AB48" s="81" t="s">
        <v>202</v>
      </c>
      <c r="AC48" s="81" t="s">
        <v>466</v>
      </c>
      <c r="AD48" s="81" t="s">
        <v>467</v>
      </c>
      <c r="AE48" s="81" t="s">
        <v>468</v>
      </c>
      <c r="AF48" s="81" t="s">
        <v>206</v>
      </c>
      <c r="AG48" s="81" t="s">
        <v>469</v>
      </c>
      <c r="AH48" s="81" t="s">
        <v>206</v>
      </c>
      <c r="AI48" s="81" t="s">
        <v>206</v>
      </c>
      <c r="AJ48" s="81" t="s">
        <v>177</v>
      </c>
      <c r="AK48" s="81">
        <v>45119.25</v>
      </c>
      <c r="AL48" s="81" t="s">
        <v>178</v>
      </c>
      <c r="AM48" s="81" t="s">
        <v>179</v>
      </c>
      <c r="AN48" s="81">
        <v>0</v>
      </c>
      <c r="AO48" s="80">
        <f t="shared" si="0"/>
        <v>0</v>
      </c>
    </row>
    <row r="49" spans="1:41">
      <c r="A49" s="81" t="s">
        <v>91</v>
      </c>
      <c r="B49" s="81" t="s">
        <v>117</v>
      </c>
      <c r="C49" s="81" t="s">
        <v>168</v>
      </c>
      <c r="D49" s="81" t="s">
        <v>169</v>
      </c>
      <c r="E49" s="81" t="s">
        <v>236</v>
      </c>
      <c r="F49" s="81" t="s">
        <v>236</v>
      </c>
      <c r="G49" s="81" t="s">
        <v>99</v>
      </c>
      <c r="H49" s="81">
        <v>18</v>
      </c>
      <c r="I49" s="81">
        <v>43515</v>
      </c>
      <c r="J49" s="81"/>
      <c r="K49" s="81" t="s">
        <v>282</v>
      </c>
      <c r="L49" s="81">
        <v>1.1000000000000001</v>
      </c>
      <c r="M49" s="81">
        <v>5</v>
      </c>
      <c r="N49" s="81" t="s">
        <v>55</v>
      </c>
      <c r="O49" s="81" t="s">
        <v>171</v>
      </c>
      <c r="P49" s="81" t="s">
        <v>470</v>
      </c>
      <c r="Q49" s="81">
        <v>44834</v>
      </c>
      <c r="R49" s="81" t="s">
        <v>471</v>
      </c>
      <c r="S49" s="81">
        <v>92</v>
      </c>
      <c r="T49" s="81" t="s">
        <v>173</v>
      </c>
      <c r="U49" s="81"/>
      <c r="V49" s="81"/>
      <c r="W49" s="81">
        <v>49</v>
      </c>
      <c r="X49" s="81">
        <v>19109</v>
      </c>
      <c r="Y49" s="81">
        <v>53.9</v>
      </c>
      <c r="Z49" s="81">
        <v>245</v>
      </c>
      <c r="AA49" s="81" t="s">
        <v>472</v>
      </c>
      <c r="AB49" s="81" t="s">
        <v>174</v>
      </c>
      <c r="AC49" s="81" t="s">
        <v>473</v>
      </c>
      <c r="AD49" s="81" t="s">
        <v>472</v>
      </c>
      <c r="AE49" s="81" t="s">
        <v>474</v>
      </c>
      <c r="AF49" s="81" t="s">
        <v>216</v>
      </c>
      <c r="AG49" s="81" t="s">
        <v>218</v>
      </c>
      <c r="AH49" s="81" t="s">
        <v>217</v>
      </c>
      <c r="AI49" s="81" t="s">
        <v>182</v>
      </c>
      <c r="AJ49" s="81" t="s">
        <v>177</v>
      </c>
      <c r="AK49" s="81">
        <v>44946.125</v>
      </c>
      <c r="AL49" s="81" t="s">
        <v>178</v>
      </c>
      <c r="AM49" s="81" t="s">
        <v>179</v>
      </c>
      <c r="AN49" s="81">
        <v>0</v>
      </c>
      <c r="AO49" s="80">
        <f t="shared" si="0"/>
        <v>0</v>
      </c>
    </row>
    <row r="50" spans="1:41">
      <c r="A50" s="81" t="s">
        <v>6</v>
      </c>
      <c r="B50" s="81" t="s">
        <v>122</v>
      </c>
      <c r="C50" s="81" t="s">
        <v>168</v>
      </c>
      <c r="D50" s="81" t="s">
        <v>169</v>
      </c>
      <c r="E50" s="81" t="s">
        <v>235</v>
      </c>
      <c r="F50" s="81" t="s">
        <v>6</v>
      </c>
      <c r="G50" s="81" t="s">
        <v>63</v>
      </c>
      <c r="H50" s="81">
        <v>18</v>
      </c>
      <c r="I50" s="81">
        <v>43515</v>
      </c>
      <c r="J50" s="81"/>
      <c r="K50" s="81" t="s">
        <v>11</v>
      </c>
      <c r="L50" s="81">
        <v>4.33</v>
      </c>
      <c r="M50" s="81">
        <v>15</v>
      </c>
      <c r="N50" s="81" t="s">
        <v>55</v>
      </c>
      <c r="O50" s="81" t="s">
        <v>171</v>
      </c>
      <c r="P50" s="81" t="s">
        <v>475</v>
      </c>
      <c r="Q50" s="81">
        <v>44835</v>
      </c>
      <c r="R50" s="81" t="s">
        <v>476</v>
      </c>
      <c r="S50" s="81"/>
      <c r="T50" s="81" t="s">
        <v>173</v>
      </c>
      <c r="U50" s="81"/>
      <c r="V50" s="81"/>
      <c r="W50" s="81">
        <v>150</v>
      </c>
      <c r="X50" s="81">
        <v>1621.6</v>
      </c>
      <c r="Y50" s="81">
        <v>649.5</v>
      </c>
      <c r="Z50" s="81">
        <v>1621.6</v>
      </c>
      <c r="AA50" s="81" t="s">
        <v>477</v>
      </c>
      <c r="AB50" s="81" t="s">
        <v>202</v>
      </c>
      <c r="AC50" s="81" t="s">
        <v>478</v>
      </c>
      <c r="AD50" s="81" t="s">
        <v>479</v>
      </c>
      <c r="AE50" s="81" t="s">
        <v>480</v>
      </c>
      <c r="AF50" s="81" t="s">
        <v>325</v>
      </c>
      <c r="AG50" s="81" t="s">
        <v>481</v>
      </c>
      <c r="AH50" s="81" t="s">
        <v>327</v>
      </c>
      <c r="AI50" s="81" t="s">
        <v>222</v>
      </c>
      <c r="AJ50" s="81" t="s">
        <v>205</v>
      </c>
      <c r="AK50" s="81">
        <v>44957.25</v>
      </c>
      <c r="AL50" s="81" t="s">
        <v>178</v>
      </c>
      <c r="AM50" s="81" t="s">
        <v>179</v>
      </c>
      <c r="AN50" s="81">
        <v>0</v>
      </c>
      <c r="AO50" s="80">
        <f t="shared" si="0"/>
        <v>0</v>
      </c>
    </row>
    <row r="51" spans="1:41">
      <c r="A51" s="81" t="s">
        <v>6</v>
      </c>
      <c r="B51" s="81" t="s">
        <v>122</v>
      </c>
      <c r="C51" s="81" t="s">
        <v>168</v>
      </c>
      <c r="D51" s="81" t="s">
        <v>169</v>
      </c>
      <c r="E51" s="81" t="s">
        <v>235</v>
      </c>
      <c r="F51" s="81" t="s">
        <v>6</v>
      </c>
      <c r="G51" s="81" t="s">
        <v>63</v>
      </c>
      <c r="H51" s="81">
        <v>18</v>
      </c>
      <c r="I51" s="81">
        <v>43515</v>
      </c>
      <c r="J51" s="81"/>
      <c r="K51" s="81" t="s">
        <v>11</v>
      </c>
      <c r="L51" s="81">
        <v>4.33</v>
      </c>
      <c r="M51" s="81">
        <v>15</v>
      </c>
      <c r="N51" s="81" t="s">
        <v>55</v>
      </c>
      <c r="O51" s="81" t="s">
        <v>171</v>
      </c>
      <c r="P51" s="81" t="s">
        <v>475</v>
      </c>
      <c r="Q51" s="81">
        <v>44835</v>
      </c>
      <c r="R51" s="81" t="s">
        <v>476</v>
      </c>
      <c r="S51" s="81"/>
      <c r="T51" s="81" t="s">
        <v>173</v>
      </c>
      <c r="U51" s="81"/>
      <c r="V51" s="81"/>
      <c r="W51" s="81">
        <v>150</v>
      </c>
      <c r="X51" s="81">
        <v>1621.61</v>
      </c>
      <c r="Y51" s="81">
        <v>649.5</v>
      </c>
      <c r="Z51" s="81">
        <v>1621.61</v>
      </c>
      <c r="AA51" s="81" t="s">
        <v>477</v>
      </c>
      <c r="AB51" s="81" t="s">
        <v>202</v>
      </c>
      <c r="AC51" s="81" t="s">
        <v>478</v>
      </c>
      <c r="AD51" s="81" t="s">
        <v>479</v>
      </c>
      <c r="AE51" s="81" t="s">
        <v>480</v>
      </c>
      <c r="AF51" s="81" t="s">
        <v>325</v>
      </c>
      <c r="AG51" s="81" t="s">
        <v>481</v>
      </c>
      <c r="AH51" s="81" t="s">
        <v>327</v>
      </c>
      <c r="AI51" s="81" t="s">
        <v>222</v>
      </c>
      <c r="AJ51" s="81" t="s">
        <v>205</v>
      </c>
      <c r="AK51" s="81">
        <v>44957.25</v>
      </c>
      <c r="AL51" s="81" t="s">
        <v>178</v>
      </c>
      <c r="AM51" s="81" t="s">
        <v>179</v>
      </c>
      <c r="AN51" s="81">
        <v>0</v>
      </c>
      <c r="AO51" s="80">
        <f t="shared" si="0"/>
        <v>0</v>
      </c>
    </row>
    <row r="52" spans="1:41">
      <c r="A52" s="81" t="s">
        <v>6</v>
      </c>
      <c r="B52" s="81" t="s">
        <v>122</v>
      </c>
      <c r="C52" s="81" t="s">
        <v>168</v>
      </c>
      <c r="D52" s="81" t="s">
        <v>169</v>
      </c>
      <c r="E52" s="81" t="s">
        <v>235</v>
      </c>
      <c r="F52" s="81" t="s">
        <v>6</v>
      </c>
      <c r="G52" s="81" t="s">
        <v>63</v>
      </c>
      <c r="H52" s="81">
        <v>18</v>
      </c>
      <c r="I52" s="81">
        <v>43515</v>
      </c>
      <c r="J52" s="81"/>
      <c r="K52" s="81" t="s">
        <v>11</v>
      </c>
      <c r="L52" s="81">
        <v>4.33</v>
      </c>
      <c r="M52" s="81">
        <v>15</v>
      </c>
      <c r="N52" s="81" t="s">
        <v>55</v>
      </c>
      <c r="O52" s="81" t="s">
        <v>171</v>
      </c>
      <c r="P52" s="81" t="s">
        <v>475</v>
      </c>
      <c r="Q52" s="81">
        <v>44835</v>
      </c>
      <c r="R52" s="81" t="s">
        <v>476</v>
      </c>
      <c r="S52" s="81"/>
      <c r="T52" s="81" t="s">
        <v>173</v>
      </c>
      <c r="U52" s="81"/>
      <c r="V52" s="81"/>
      <c r="W52" s="81">
        <v>150</v>
      </c>
      <c r="X52" s="81">
        <v>1621.6</v>
      </c>
      <c r="Y52" s="81">
        <v>649.5</v>
      </c>
      <c r="Z52" s="81">
        <v>1621.6</v>
      </c>
      <c r="AA52" s="81" t="s">
        <v>477</v>
      </c>
      <c r="AB52" s="81" t="s">
        <v>202</v>
      </c>
      <c r="AC52" s="81" t="s">
        <v>478</v>
      </c>
      <c r="AD52" s="81" t="s">
        <v>479</v>
      </c>
      <c r="AE52" s="81" t="s">
        <v>480</v>
      </c>
      <c r="AF52" s="81" t="s">
        <v>325</v>
      </c>
      <c r="AG52" s="81" t="s">
        <v>481</v>
      </c>
      <c r="AH52" s="81" t="s">
        <v>327</v>
      </c>
      <c r="AI52" s="81" t="s">
        <v>222</v>
      </c>
      <c r="AJ52" s="81" t="s">
        <v>205</v>
      </c>
      <c r="AK52" s="81">
        <v>44957.25</v>
      </c>
      <c r="AL52" s="81" t="s">
        <v>178</v>
      </c>
      <c r="AM52" s="81" t="s">
        <v>179</v>
      </c>
      <c r="AN52" s="81">
        <v>0</v>
      </c>
      <c r="AO52" s="80">
        <f t="shared" si="0"/>
        <v>0</v>
      </c>
    </row>
    <row r="53" spans="1:41">
      <c r="A53" s="81" t="s">
        <v>6</v>
      </c>
      <c r="B53" s="81" t="s">
        <v>122</v>
      </c>
      <c r="C53" s="81" t="s">
        <v>168</v>
      </c>
      <c r="D53" s="81" t="s">
        <v>169</v>
      </c>
      <c r="E53" s="81" t="s">
        <v>235</v>
      </c>
      <c r="F53" s="81" t="s">
        <v>6</v>
      </c>
      <c r="G53" s="81" t="s">
        <v>63</v>
      </c>
      <c r="H53" s="81">
        <v>18</v>
      </c>
      <c r="I53" s="81">
        <v>43515</v>
      </c>
      <c r="J53" s="81"/>
      <c r="K53" s="81" t="s">
        <v>11</v>
      </c>
      <c r="L53" s="81">
        <v>4.33</v>
      </c>
      <c r="M53" s="81">
        <v>15</v>
      </c>
      <c r="N53" s="81" t="s">
        <v>55</v>
      </c>
      <c r="O53" s="81" t="s">
        <v>171</v>
      </c>
      <c r="P53" s="81" t="s">
        <v>475</v>
      </c>
      <c r="Q53" s="81">
        <v>44835</v>
      </c>
      <c r="R53" s="81" t="s">
        <v>476</v>
      </c>
      <c r="S53" s="81"/>
      <c r="T53" s="81" t="s">
        <v>173</v>
      </c>
      <c r="U53" s="81"/>
      <c r="V53" s="81"/>
      <c r="W53" s="81">
        <v>150</v>
      </c>
      <c r="X53" s="81">
        <v>1621.61</v>
      </c>
      <c r="Y53" s="81">
        <v>649.5</v>
      </c>
      <c r="Z53" s="81">
        <v>1621.61</v>
      </c>
      <c r="AA53" s="81" t="s">
        <v>477</v>
      </c>
      <c r="AB53" s="81" t="s">
        <v>202</v>
      </c>
      <c r="AC53" s="81" t="s">
        <v>478</v>
      </c>
      <c r="AD53" s="81" t="s">
        <v>479</v>
      </c>
      <c r="AE53" s="81" t="s">
        <v>480</v>
      </c>
      <c r="AF53" s="81" t="s">
        <v>325</v>
      </c>
      <c r="AG53" s="81" t="s">
        <v>481</v>
      </c>
      <c r="AH53" s="81" t="s">
        <v>327</v>
      </c>
      <c r="AI53" s="81" t="s">
        <v>222</v>
      </c>
      <c r="AJ53" s="81" t="s">
        <v>205</v>
      </c>
      <c r="AK53" s="81">
        <v>44957.25</v>
      </c>
      <c r="AL53" s="81" t="s">
        <v>178</v>
      </c>
      <c r="AM53" s="81" t="s">
        <v>179</v>
      </c>
      <c r="AN53" s="81">
        <v>0</v>
      </c>
      <c r="AO53" s="80">
        <f t="shared" si="0"/>
        <v>0</v>
      </c>
    </row>
    <row r="54" spans="1:41">
      <c r="A54" s="81" t="s">
        <v>60</v>
      </c>
      <c r="B54" s="81" t="s">
        <v>125</v>
      </c>
      <c r="C54" s="81" t="s">
        <v>168</v>
      </c>
      <c r="D54" s="81" t="s">
        <v>169</v>
      </c>
      <c r="E54" s="81" t="s">
        <v>234</v>
      </c>
      <c r="F54" s="81" t="s">
        <v>234</v>
      </c>
      <c r="G54" s="81" t="s">
        <v>61</v>
      </c>
      <c r="H54" s="81">
        <v>18</v>
      </c>
      <c r="I54" s="81">
        <v>43515</v>
      </c>
      <c r="J54" s="81"/>
      <c r="K54" s="81" t="s">
        <v>62</v>
      </c>
      <c r="L54" s="81">
        <v>1.1000000000000001</v>
      </c>
      <c r="M54" s="81">
        <v>5</v>
      </c>
      <c r="N54" s="81" t="s">
        <v>55</v>
      </c>
      <c r="O54" s="81" t="s">
        <v>171</v>
      </c>
      <c r="P54" s="81" t="s">
        <v>482</v>
      </c>
      <c r="Q54" s="81">
        <v>44903</v>
      </c>
      <c r="R54" s="81" t="s">
        <v>483</v>
      </c>
      <c r="S54" s="81">
        <v>96</v>
      </c>
      <c r="T54" s="81" t="s">
        <v>173</v>
      </c>
      <c r="U54" s="81"/>
      <c r="V54" s="81"/>
      <c r="W54" s="81">
        <v>100</v>
      </c>
      <c r="X54" s="81">
        <v>6210</v>
      </c>
      <c r="Y54" s="81">
        <v>110</v>
      </c>
      <c r="Z54" s="81">
        <v>500</v>
      </c>
      <c r="AA54" s="81" t="s">
        <v>484</v>
      </c>
      <c r="AB54" s="81" t="s">
        <v>188</v>
      </c>
      <c r="AC54" s="81" t="s">
        <v>485</v>
      </c>
      <c r="AD54" s="81" t="s">
        <v>486</v>
      </c>
      <c r="AE54" s="81" t="s">
        <v>487</v>
      </c>
      <c r="AF54" s="81" t="s">
        <v>185</v>
      </c>
      <c r="AG54" s="81" t="s">
        <v>488</v>
      </c>
      <c r="AH54" s="81" t="s">
        <v>184</v>
      </c>
      <c r="AI54" s="81" t="s">
        <v>185</v>
      </c>
      <c r="AJ54" s="81" t="s">
        <v>186</v>
      </c>
      <c r="AK54" s="81">
        <v>44957.25</v>
      </c>
      <c r="AL54" s="81" t="s">
        <v>178</v>
      </c>
      <c r="AM54" s="81" t="s">
        <v>179</v>
      </c>
      <c r="AN54" s="81">
        <v>0</v>
      </c>
      <c r="AO54" s="80">
        <f t="shared" si="0"/>
        <v>0</v>
      </c>
    </row>
    <row r="55" spans="1:41">
      <c r="A55" s="81" t="s">
        <v>60</v>
      </c>
      <c r="B55" s="81" t="s">
        <v>125</v>
      </c>
      <c r="C55" s="81" t="s">
        <v>168</v>
      </c>
      <c r="D55" s="81" t="s">
        <v>169</v>
      </c>
      <c r="E55" s="81" t="s">
        <v>234</v>
      </c>
      <c r="F55" s="81" t="s">
        <v>234</v>
      </c>
      <c r="G55" s="81" t="s">
        <v>61</v>
      </c>
      <c r="H55" s="81">
        <v>18</v>
      </c>
      <c r="I55" s="81">
        <v>43515</v>
      </c>
      <c r="J55" s="81"/>
      <c r="K55" s="81" t="s">
        <v>62</v>
      </c>
      <c r="L55" s="81">
        <v>1.1000000000000001</v>
      </c>
      <c r="M55" s="81">
        <v>5</v>
      </c>
      <c r="N55" s="81" t="s">
        <v>55</v>
      </c>
      <c r="O55" s="81" t="s">
        <v>171</v>
      </c>
      <c r="P55" s="81" t="s">
        <v>489</v>
      </c>
      <c r="Q55" s="81">
        <v>45079</v>
      </c>
      <c r="R55" s="81" t="s">
        <v>490</v>
      </c>
      <c r="S55" s="81">
        <v>96</v>
      </c>
      <c r="T55" s="81" t="s">
        <v>173</v>
      </c>
      <c r="U55" s="81"/>
      <c r="V55" s="81"/>
      <c r="W55" s="81">
        <v>60</v>
      </c>
      <c r="X55" s="81">
        <v>9054</v>
      </c>
      <c r="Y55" s="81">
        <v>66</v>
      </c>
      <c r="Z55" s="81">
        <v>300</v>
      </c>
      <c r="AA55" s="81" t="s">
        <v>491</v>
      </c>
      <c r="AB55" s="81" t="s">
        <v>174</v>
      </c>
      <c r="AC55" s="81" t="s">
        <v>492</v>
      </c>
      <c r="AD55" s="81" t="s">
        <v>493</v>
      </c>
      <c r="AE55" s="81" t="s">
        <v>494</v>
      </c>
      <c r="AF55" s="81" t="s">
        <v>175</v>
      </c>
      <c r="AG55" s="81" t="s">
        <v>495</v>
      </c>
      <c r="AH55" s="81" t="s">
        <v>175</v>
      </c>
      <c r="AI55" s="81" t="s">
        <v>175</v>
      </c>
      <c r="AJ55" s="81" t="s">
        <v>177</v>
      </c>
      <c r="AK55" s="81">
        <v>45121.25</v>
      </c>
      <c r="AL55" s="81" t="s">
        <v>178</v>
      </c>
      <c r="AM55" s="81" t="s">
        <v>179</v>
      </c>
      <c r="AN55" s="81">
        <v>0</v>
      </c>
      <c r="AO55" s="80">
        <f t="shared" si="0"/>
        <v>0</v>
      </c>
    </row>
    <row r="56" spans="1:41">
      <c r="A56" s="81" t="s">
        <v>6</v>
      </c>
      <c r="B56" s="81" t="s">
        <v>122</v>
      </c>
      <c r="C56" s="81" t="s">
        <v>168</v>
      </c>
      <c r="D56" s="81" t="s">
        <v>169</v>
      </c>
      <c r="E56" s="81" t="s">
        <v>235</v>
      </c>
      <c r="F56" s="81" t="s">
        <v>6</v>
      </c>
      <c r="G56" s="81" t="s">
        <v>63</v>
      </c>
      <c r="H56" s="81">
        <v>18</v>
      </c>
      <c r="I56" s="81">
        <v>43515</v>
      </c>
      <c r="J56" s="81"/>
      <c r="K56" s="81" t="s">
        <v>11</v>
      </c>
      <c r="L56" s="81">
        <v>4.33</v>
      </c>
      <c r="M56" s="81">
        <v>15</v>
      </c>
      <c r="N56" s="81" t="s">
        <v>55</v>
      </c>
      <c r="O56" s="81" t="s">
        <v>171</v>
      </c>
      <c r="P56" s="81" t="s">
        <v>335</v>
      </c>
      <c r="Q56" s="81">
        <v>44907</v>
      </c>
      <c r="R56" s="81" t="s">
        <v>496</v>
      </c>
      <c r="S56" s="81"/>
      <c r="T56" s="81" t="s">
        <v>173</v>
      </c>
      <c r="U56" s="81"/>
      <c r="V56" s="81"/>
      <c r="W56" s="81">
        <v>100</v>
      </c>
      <c r="X56" s="81">
        <v>4567</v>
      </c>
      <c r="Y56" s="81">
        <v>433</v>
      </c>
      <c r="Z56" s="81">
        <v>1500</v>
      </c>
      <c r="AA56" s="81" t="s">
        <v>336</v>
      </c>
      <c r="AB56" s="81" t="s">
        <v>188</v>
      </c>
      <c r="AC56" s="81" t="s">
        <v>337</v>
      </c>
      <c r="AD56" s="81" t="s">
        <v>336</v>
      </c>
      <c r="AE56" s="81" t="s">
        <v>338</v>
      </c>
      <c r="AF56" s="81" t="s">
        <v>227</v>
      </c>
      <c r="AG56" s="81" t="s">
        <v>339</v>
      </c>
      <c r="AH56" s="81" t="s">
        <v>191</v>
      </c>
      <c r="AI56" s="81" t="s">
        <v>192</v>
      </c>
      <c r="AJ56" s="81" t="s">
        <v>186</v>
      </c>
      <c r="AK56" s="81">
        <v>44957.125</v>
      </c>
      <c r="AL56" s="81" t="s">
        <v>178</v>
      </c>
      <c r="AM56" s="81" t="s">
        <v>179</v>
      </c>
      <c r="AN56" s="81">
        <v>0</v>
      </c>
      <c r="AO56" s="80">
        <f t="shared" si="0"/>
        <v>0</v>
      </c>
    </row>
    <row r="57" spans="1:41">
      <c r="A57" s="81" t="s">
        <v>6</v>
      </c>
      <c r="B57" s="81" t="s">
        <v>122</v>
      </c>
      <c r="C57" s="81" t="s">
        <v>168</v>
      </c>
      <c r="D57" s="81" t="s">
        <v>169</v>
      </c>
      <c r="E57" s="81" t="s">
        <v>235</v>
      </c>
      <c r="F57" s="81" t="s">
        <v>6</v>
      </c>
      <c r="G57" s="81" t="s">
        <v>63</v>
      </c>
      <c r="H57" s="81">
        <v>18</v>
      </c>
      <c r="I57" s="81">
        <v>43515</v>
      </c>
      <c r="J57" s="81"/>
      <c r="K57" s="81" t="s">
        <v>11</v>
      </c>
      <c r="L57" s="81">
        <v>4.33</v>
      </c>
      <c r="M57" s="81">
        <v>15</v>
      </c>
      <c r="N57" s="81" t="s">
        <v>55</v>
      </c>
      <c r="O57" s="81" t="s">
        <v>171</v>
      </c>
      <c r="P57" s="81" t="s">
        <v>335</v>
      </c>
      <c r="Q57" s="81">
        <v>44907</v>
      </c>
      <c r="R57" s="81" t="s">
        <v>496</v>
      </c>
      <c r="S57" s="81"/>
      <c r="T57" s="81" t="s">
        <v>173</v>
      </c>
      <c r="U57" s="81"/>
      <c r="V57" s="81"/>
      <c r="W57" s="81">
        <v>100</v>
      </c>
      <c r="X57" s="81">
        <v>4567</v>
      </c>
      <c r="Y57" s="81">
        <v>433</v>
      </c>
      <c r="Z57" s="81">
        <v>1500</v>
      </c>
      <c r="AA57" s="81" t="s">
        <v>336</v>
      </c>
      <c r="AB57" s="81" t="s">
        <v>188</v>
      </c>
      <c r="AC57" s="81" t="s">
        <v>337</v>
      </c>
      <c r="AD57" s="81" t="s">
        <v>336</v>
      </c>
      <c r="AE57" s="81" t="s">
        <v>338</v>
      </c>
      <c r="AF57" s="81" t="s">
        <v>227</v>
      </c>
      <c r="AG57" s="81" t="s">
        <v>339</v>
      </c>
      <c r="AH57" s="81" t="s">
        <v>191</v>
      </c>
      <c r="AI57" s="81" t="s">
        <v>192</v>
      </c>
      <c r="AJ57" s="81" t="s">
        <v>186</v>
      </c>
      <c r="AK57" s="81">
        <v>44957.125</v>
      </c>
      <c r="AL57" s="81" t="s">
        <v>178</v>
      </c>
      <c r="AM57" s="81" t="s">
        <v>179</v>
      </c>
      <c r="AN57" s="81">
        <v>0</v>
      </c>
      <c r="AO57" s="80">
        <f t="shared" si="0"/>
        <v>0</v>
      </c>
    </row>
    <row r="58" spans="1:41">
      <c r="A58" s="81" t="s">
        <v>6</v>
      </c>
      <c r="B58" s="81" t="s">
        <v>122</v>
      </c>
      <c r="C58" s="81" t="s">
        <v>168</v>
      </c>
      <c r="D58" s="81" t="s">
        <v>169</v>
      </c>
      <c r="E58" s="81" t="s">
        <v>235</v>
      </c>
      <c r="F58" s="81" t="s">
        <v>6</v>
      </c>
      <c r="G58" s="81" t="s">
        <v>63</v>
      </c>
      <c r="H58" s="81">
        <v>18</v>
      </c>
      <c r="I58" s="81">
        <v>43515</v>
      </c>
      <c r="J58" s="81"/>
      <c r="K58" s="81" t="s">
        <v>11</v>
      </c>
      <c r="L58" s="81">
        <v>4.33</v>
      </c>
      <c r="M58" s="81">
        <v>15</v>
      </c>
      <c r="N58" s="81" t="s">
        <v>55</v>
      </c>
      <c r="O58" s="81" t="s">
        <v>171</v>
      </c>
      <c r="P58" s="81" t="s">
        <v>335</v>
      </c>
      <c r="Q58" s="81">
        <v>44907</v>
      </c>
      <c r="R58" s="81" t="s">
        <v>496</v>
      </c>
      <c r="S58" s="81"/>
      <c r="T58" s="81" t="s">
        <v>173</v>
      </c>
      <c r="U58" s="81"/>
      <c r="V58" s="81"/>
      <c r="W58" s="81">
        <v>100</v>
      </c>
      <c r="X58" s="81">
        <v>4567</v>
      </c>
      <c r="Y58" s="81">
        <v>433</v>
      </c>
      <c r="Z58" s="81">
        <v>1500</v>
      </c>
      <c r="AA58" s="81" t="s">
        <v>336</v>
      </c>
      <c r="AB58" s="81" t="s">
        <v>188</v>
      </c>
      <c r="AC58" s="81" t="s">
        <v>337</v>
      </c>
      <c r="AD58" s="81" t="s">
        <v>336</v>
      </c>
      <c r="AE58" s="81" t="s">
        <v>338</v>
      </c>
      <c r="AF58" s="81" t="s">
        <v>227</v>
      </c>
      <c r="AG58" s="81" t="s">
        <v>339</v>
      </c>
      <c r="AH58" s="81" t="s">
        <v>191</v>
      </c>
      <c r="AI58" s="81" t="s">
        <v>192</v>
      </c>
      <c r="AJ58" s="81" t="s">
        <v>186</v>
      </c>
      <c r="AK58" s="81">
        <v>44957.125</v>
      </c>
      <c r="AL58" s="81" t="s">
        <v>178</v>
      </c>
      <c r="AM58" s="81" t="s">
        <v>179</v>
      </c>
      <c r="AN58" s="81">
        <v>0</v>
      </c>
      <c r="AO58" s="80">
        <f t="shared" si="0"/>
        <v>0</v>
      </c>
    </row>
    <row r="59" spans="1:41">
      <c r="A59" s="81" t="s">
        <v>6</v>
      </c>
      <c r="B59" s="81" t="s">
        <v>122</v>
      </c>
      <c r="C59" s="81" t="s">
        <v>168</v>
      </c>
      <c r="D59" s="81" t="s">
        <v>169</v>
      </c>
      <c r="E59" s="81" t="s">
        <v>235</v>
      </c>
      <c r="F59" s="81" t="s">
        <v>6</v>
      </c>
      <c r="G59" s="81" t="s">
        <v>63</v>
      </c>
      <c r="H59" s="81">
        <v>18</v>
      </c>
      <c r="I59" s="81">
        <v>43515</v>
      </c>
      <c r="J59" s="81"/>
      <c r="K59" s="81" t="s">
        <v>11</v>
      </c>
      <c r="L59" s="81">
        <v>4.33</v>
      </c>
      <c r="M59" s="81">
        <v>15</v>
      </c>
      <c r="N59" s="81" t="s">
        <v>55</v>
      </c>
      <c r="O59" s="81" t="s">
        <v>171</v>
      </c>
      <c r="P59" s="81" t="s">
        <v>335</v>
      </c>
      <c r="Q59" s="81">
        <v>44907</v>
      </c>
      <c r="R59" s="81" t="s">
        <v>496</v>
      </c>
      <c r="S59" s="81"/>
      <c r="T59" s="81" t="s">
        <v>173</v>
      </c>
      <c r="U59" s="81"/>
      <c r="V59" s="81"/>
      <c r="W59" s="81">
        <v>100</v>
      </c>
      <c r="X59" s="81">
        <v>4567</v>
      </c>
      <c r="Y59" s="81">
        <v>433</v>
      </c>
      <c r="Z59" s="81">
        <v>1500</v>
      </c>
      <c r="AA59" s="81" t="s">
        <v>336</v>
      </c>
      <c r="AB59" s="81" t="s">
        <v>188</v>
      </c>
      <c r="AC59" s="81" t="s">
        <v>337</v>
      </c>
      <c r="AD59" s="81" t="s">
        <v>336</v>
      </c>
      <c r="AE59" s="81" t="s">
        <v>338</v>
      </c>
      <c r="AF59" s="81" t="s">
        <v>227</v>
      </c>
      <c r="AG59" s="81" t="s">
        <v>339</v>
      </c>
      <c r="AH59" s="81" t="s">
        <v>191</v>
      </c>
      <c r="AI59" s="81" t="s">
        <v>192</v>
      </c>
      <c r="AJ59" s="81" t="s">
        <v>186</v>
      </c>
      <c r="AK59" s="81">
        <v>44957.125</v>
      </c>
      <c r="AL59" s="81" t="s">
        <v>178</v>
      </c>
      <c r="AM59" s="81" t="s">
        <v>179</v>
      </c>
      <c r="AN59" s="81">
        <v>0</v>
      </c>
      <c r="AO59" s="80">
        <f t="shared" si="0"/>
        <v>0</v>
      </c>
    </row>
    <row r="60" spans="1:41">
      <c r="A60" s="81" t="s">
        <v>6</v>
      </c>
      <c r="B60" s="81" t="s">
        <v>122</v>
      </c>
      <c r="C60" s="81" t="s">
        <v>168</v>
      </c>
      <c r="D60" s="81" t="s">
        <v>169</v>
      </c>
      <c r="E60" s="81" t="s">
        <v>235</v>
      </c>
      <c r="F60" s="81" t="s">
        <v>6</v>
      </c>
      <c r="G60" s="81" t="s">
        <v>63</v>
      </c>
      <c r="H60" s="81">
        <v>18</v>
      </c>
      <c r="I60" s="81">
        <v>43515</v>
      </c>
      <c r="J60" s="81"/>
      <c r="K60" s="81" t="s">
        <v>11</v>
      </c>
      <c r="L60" s="81">
        <v>4.33</v>
      </c>
      <c r="M60" s="81">
        <v>15</v>
      </c>
      <c r="N60" s="81" t="s">
        <v>55</v>
      </c>
      <c r="O60" s="81" t="s">
        <v>171</v>
      </c>
      <c r="P60" s="81" t="s">
        <v>335</v>
      </c>
      <c r="Q60" s="81">
        <v>44907</v>
      </c>
      <c r="R60" s="81" t="s">
        <v>496</v>
      </c>
      <c r="S60" s="81"/>
      <c r="T60" s="81" t="s">
        <v>173</v>
      </c>
      <c r="U60" s="81"/>
      <c r="V60" s="81"/>
      <c r="W60" s="81">
        <v>100</v>
      </c>
      <c r="X60" s="81">
        <v>4567</v>
      </c>
      <c r="Y60" s="81">
        <v>433</v>
      </c>
      <c r="Z60" s="81">
        <v>1500</v>
      </c>
      <c r="AA60" s="81" t="s">
        <v>336</v>
      </c>
      <c r="AB60" s="81" t="s">
        <v>188</v>
      </c>
      <c r="AC60" s="81" t="s">
        <v>337</v>
      </c>
      <c r="AD60" s="81" t="s">
        <v>336</v>
      </c>
      <c r="AE60" s="81" t="s">
        <v>338</v>
      </c>
      <c r="AF60" s="81" t="s">
        <v>227</v>
      </c>
      <c r="AG60" s="81" t="s">
        <v>339</v>
      </c>
      <c r="AH60" s="81" t="s">
        <v>191</v>
      </c>
      <c r="AI60" s="81" t="s">
        <v>192</v>
      </c>
      <c r="AJ60" s="81" t="s">
        <v>186</v>
      </c>
      <c r="AK60" s="81">
        <v>44957.125</v>
      </c>
      <c r="AL60" s="81" t="s">
        <v>178</v>
      </c>
      <c r="AM60" s="81" t="s">
        <v>179</v>
      </c>
      <c r="AN60" s="81">
        <v>0</v>
      </c>
      <c r="AO60" s="80">
        <f t="shared" si="0"/>
        <v>0</v>
      </c>
    </row>
    <row r="61" spans="1:41">
      <c r="A61" s="81" t="s">
        <v>6</v>
      </c>
      <c r="B61" s="81" t="s">
        <v>122</v>
      </c>
      <c r="C61" s="81" t="s">
        <v>168</v>
      </c>
      <c r="D61" s="81" t="s">
        <v>169</v>
      </c>
      <c r="E61" s="81" t="s">
        <v>235</v>
      </c>
      <c r="F61" s="81" t="s">
        <v>6</v>
      </c>
      <c r="G61" s="81" t="s">
        <v>63</v>
      </c>
      <c r="H61" s="81">
        <v>18</v>
      </c>
      <c r="I61" s="81">
        <v>43515</v>
      </c>
      <c r="J61" s="81"/>
      <c r="K61" s="81" t="s">
        <v>11</v>
      </c>
      <c r="L61" s="81">
        <v>4.33</v>
      </c>
      <c r="M61" s="81">
        <v>15</v>
      </c>
      <c r="N61" s="81" t="s">
        <v>55</v>
      </c>
      <c r="O61" s="81" t="s">
        <v>171</v>
      </c>
      <c r="P61" s="81" t="s">
        <v>335</v>
      </c>
      <c r="Q61" s="81">
        <v>44907</v>
      </c>
      <c r="R61" s="81" t="s">
        <v>496</v>
      </c>
      <c r="S61" s="81"/>
      <c r="T61" s="81" t="s">
        <v>173</v>
      </c>
      <c r="U61" s="81"/>
      <c r="V61" s="81"/>
      <c r="W61" s="81">
        <v>100</v>
      </c>
      <c r="X61" s="81">
        <v>4567</v>
      </c>
      <c r="Y61" s="81">
        <v>433</v>
      </c>
      <c r="Z61" s="81">
        <v>1500</v>
      </c>
      <c r="AA61" s="81" t="s">
        <v>336</v>
      </c>
      <c r="AB61" s="81" t="s">
        <v>188</v>
      </c>
      <c r="AC61" s="81" t="s">
        <v>337</v>
      </c>
      <c r="AD61" s="81" t="s">
        <v>336</v>
      </c>
      <c r="AE61" s="81" t="s">
        <v>338</v>
      </c>
      <c r="AF61" s="81" t="s">
        <v>227</v>
      </c>
      <c r="AG61" s="81" t="s">
        <v>339</v>
      </c>
      <c r="AH61" s="81" t="s">
        <v>191</v>
      </c>
      <c r="AI61" s="81" t="s">
        <v>192</v>
      </c>
      <c r="AJ61" s="81" t="s">
        <v>186</v>
      </c>
      <c r="AK61" s="81">
        <v>44957.125</v>
      </c>
      <c r="AL61" s="81" t="s">
        <v>178</v>
      </c>
      <c r="AM61" s="81" t="s">
        <v>179</v>
      </c>
      <c r="AN61" s="81">
        <v>0</v>
      </c>
      <c r="AO61" s="80">
        <f t="shared" si="0"/>
        <v>0</v>
      </c>
    </row>
    <row r="62" spans="1:41">
      <c r="A62" s="81" t="s">
        <v>6</v>
      </c>
      <c r="B62" s="81" t="s">
        <v>122</v>
      </c>
      <c r="C62" s="81" t="s">
        <v>168</v>
      </c>
      <c r="D62" s="81" t="s">
        <v>169</v>
      </c>
      <c r="E62" s="81" t="s">
        <v>235</v>
      </c>
      <c r="F62" s="81" t="s">
        <v>6</v>
      </c>
      <c r="G62" s="81" t="s">
        <v>63</v>
      </c>
      <c r="H62" s="81">
        <v>18</v>
      </c>
      <c r="I62" s="81">
        <v>43515</v>
      </c>
      <c r="J62" s="81"/>
      <c r="K62" s="81" t="s">
        <v>11</v>
      </c>
      <c r="L62" s="81">
        <v>4.33</v>
      </c>
      <c r="M62" s="81">
        <v>15</v>
      </c>
      <c r="N62" s="81" t="s">
        <v>55</v>
      </c>
      <c r="O62" s="81" t="s">
        <v>171</v>
      </c>
      <c r="P62" s="81" t="s">
        <v>335</v>
      </c>
      <c r="Q62" s="81">
        <v>44907</v>
      </c>
      <c r="R62" s="81" t="s">
        <v>496</v>
      </c>
      <c r="S62" s="81"/>
      <c r="T62" s="81" t="s">
        <v>173</v>
      </c>
      <c r="U62" s="81"/>
      <c r="V62" s="81"/>
      <c r="W62" s="81">
        <v>100</v>
      </c>
      <c r="X62" s="81">
        <v>4567</v>
      </c>
      <c r="Y62" s="81">
        <v>433</v>
      </c>
      <c r="Z62" s="81">
        <v>1500</v>
      </c>
      <c r="AA62" s="81" t="s">
        <v>336</v>
      </c>
      <c r="AB62" s="81" t="s">
        <v>188</v>
      </c>
      <c r="AC62" s="81" t="s">
        <v>337</v>
      </c>
      <c r="AD62" s="81" t="s">
        <v>336</v>
      </c>
      <c r="AE62" s="81" t="s">
        <v>338</v>
      </c>
      <c r="AF62" s="81" t="s">
        <v>227</v>
      </c>
      <c r="AG62" s="81" t="s">
        <v>339</v>
      </c>
      <c r="AH62" s="81" t="s">
        <v>191</v>
      </c>
      <c r="AI62" s="81" t="s">
        <v>192</v>
      </c>
      <c r="AJ62" s="81" t="s">
        <v>186</v>
      </c>
      <c r="AK62" s="81">
        <v>44957.125</v>
      </c>
      <c r="AL62" s="81" t="s">
        <v>178</v>
      </c>
      <c r="AM62" s="81" t="s">
        <v>179</v>
      </c>
      <c r="AN62" s="81">
        <v>0</v>
      </c>
      <c r="AO62" s="80">
        <f t="shared" si="0"/>
        <v>0</v>
      </c>
    </row>
    <row r="63" spans="1:41">
      <c r="A63" s="81" t="s">
        <v>6</v>
      </c>
      <c r="B63" s="81" t="s">
        <v>122</v>
      </c>
      <c r="C63" s="81" t="s">
        <v>168</v>
      </c>
      <c r="D63" s="81" t="s">
        <v>169</v>
      </c>
      <c r="E63" s="81" t="s">
        <v>235</v>
      </c>
      <c r="F63" s="81" t="s">
        <v>6</v>
      </c>
      <c r="G63" s="81" t="s">
        <v>63</v>
      </c>
      <c r="H63" s="81">
        <v>18</v>
      </c>
      <c r="I63" s="81">
        <v>43515</v>
      </c>
      <c r="J63" s="81"/>
      <c r="K63" s="81" t="s">
        <v>11</v>
      </c>
      <c r="L63" s="81">
        <v>4.33</v>
      </c>
      <c r="M63" s="81">
        <v>15</v>
      </c>
      <c r="N63" s="81" t="s">
        <v>55</v>
      </c>
      <c r="O63" s="81" t="s">
        <v>171</v>
      </c>
      <c r="P63" s="81" t="s">
        <v>335</v>
      </c>
      <c r="Q63" s="81">
        <v>44907</v>
      </c>
      <c r="R63" s="81" t="s">
        <v>496</v>
      </c>
      <c r="S63" s="81"/>
      <c r="T63" s="81" t="s">
        <v>173</v>
      </c>
      <c r="U63" s="81"/>
      <c r="V63" s="81"/>
      <c r="W63" s="81">
        <v>100</v>
      </c>
      <c r="X63" s="81">
        <v>4567</v>
      </c>
      <c r="Y63" s="81">
        <v>433</v>
      </c>
      <c r="Z63" s="81">
        <v>1500</v>
      </c>
      <c r="AA63" s="81" t="s">
        <v>336</v>
      </c>
      <c r="AB63" s="81" t="s">
        <v>188</v>
      </c>
      <c r="AC63" s="81" t="s">
        <v>337</v>
      </c>
      <c r="AD63" s="81" t="s">
        <v>336</v>
      </c>
      <c r="AE63" s="81" t="s">
        <v>338</v>
      </c>
      <c r="AF63" s="81" t="s">
        <v>227</v>
      </c>
      <c r="AG63" s="81" t="s">
        <v>339</v>
      </c>
      <c r="AH63" s="81" t="s">
        <v>191</v>
      </c>
      <c r="AI63" s="81" t="s">
        <v>192</v>
      </c>
      <c r="AJ63" s="81" t="s">
        <v>186</v>
      </c>
      <c r="AK63" s="81">
        <v>44957.125</v>
      </c>
      <c r="AL63" s="81" t="s">
        <v>178</v>
      </c>
      <c r="AM63" s="81" t="s">
        <v>179</v>
      </c>
      <c r="AN63" s="81">
        <v>0</v>
      </c>
      <c r="AO63" s="80">
        <f t="shared" si="0"/>
        <v>0</v>
      </c>
    </row>
    <row r="64" spans="1:41">
      <c r="A64" s="81" t="s">
        <v>6</v>
      </c>
      <c r="B64" s="81" t="s">
        <v>122</v>
      </c>
      <c r="C64" s="81" t="s">
        <v>168</v>
      </c>
      <c r="D64" s="81" t="s">
        <v>169</v>
      </c>
      <c r="E64" s="81" t="s">
        <v>235</v>
      </c>
      <c r="F64" s="81" t="s">
        <v>6</v>
      </c>
      <c r="G64" s="81" t="s">
        <v>63</v>
      </c>
      <c r="H64" s="81">
        <v>18</v>
      </c>
      <c r="I64" s="81">
        <v>43515</v>
      </c>
      <c r="J64" s="81"/>
      <c r="K64" s="81" t="s">
        <v>11</v>
      </c>
      <c r="L64" s="81">
        <v>4.33</v>
      </c>
      <c r="M64" s="81">
        <v>15</v>
      </c>
      <c r="N64" s="81" t="s">
        <v>55</v>
      </c>
      <c r="O64" s="81" t="s">
        <v>171</v>
      </c>
      <c r="P64" s="81" t="s">
        <v>335</v>
      </c>
      <c r="Q64" s="81">
        <v>44907</v>
      </c>
      <c r="R64" s="81" t="s">
        <v>496</v>
      </c>
      <c r="S64" s="81"/>
      <c r="T64" s="81" t="s">
        <v>173</v>
      </c>
      <c r="U64" s="81"/>
      <c r="V64" s="81"/>
      <c r="W64" s="81">
        <v>100</v>
      </c>
      <c r="X64" s="81">
        <v>4567</v>
      </c>
      <c r="Y64" s="81">
        <v>433</v>
      </c>
      <c r="Z64" s="81">
        <v>1500</v>
      </c>
      <c r="AA64" s="81" t="s">
        <v>336</v>
      </c>
      <c r="AB64" s="81" t="s">
        <v>188</v>
      </c>
      <c r="AC64" s="81" t="s">
        <v>337</v>
      </c>
      <c r="AD64" s="81" t="s">
        <v>336</v>
      </c>
      <c r="AE64" s="81" t="s">
        <v>338</v>
      </c>
      <c r="AF64" s="81" t="s">
        <v>227</v>
      </c>
      <c r="AG64" s="81" t="s">
        <v>339</v>
      </c>
      <c r="AH64" s="81" t="s">
        <v>191</v>
      </c>
      <c r="AI64" s="81" t="s">
        <v>192</v>
      </c>
      <c r="AJ64" s="81" t="s">
        <v>186</v>
      </c>
      <c r="AK64" s="81">
        <v>44957.125</v>
      </c>
      <c r="AL64" s="81" t="s">
        <v>178</v>
      </c>
      <c r="AM64" s="81" t="s">
        <v>179</v>
      </c>
      <c r="AN64" s="81">
        <v>0</v>
      </c>
      <c r="AO64" s="80">
        <f t="shared" si="0"/>
        <v>0</v>
      </c>
    </row>
    <row r="65" spans="1:41">
      <c r="A65" s="81" t="s">
        <v>6</v>
      </c>
      <c r="B65" s="81" t="s">
        <v>122</v>
      </c>
      <c r="C65" s="81" t="s">
        <v>168</v>
      </c>
      <c r="D65" s="81" t="s">
        <v>169</v>
      </c>
      <c r="E65" s="81" t="s">
        <v>235</v>
      </c>
      <c r="F65" s="81" t="s">
        <v>6</v>
      </c>
      <c r="G65" s="81" t="s">
        <v>63</v>
      </c>
      <c r="H65" s="81">
        <v>18</v>
      </c>
      <c r="I65" s="81">
        <v>43515</v>
      </c>
      <c r="J65" s="81"/>
      <c r="K65" s="81" t="s">
        <v>11</v>
      </c>
      <c r="L65" s="81">
        <v>4.33</v>
      </c>
      <c r="M65" s="81">
        <v>15</v>
      </c>
      <c r="N65" s="81" t="s">
        <v>55</v>
      </c>
      <c r="O65" s="81" t="s">
        <v>171</v>
      </c>
      <c r="P65" s="81" t="s">
        <v>335</v>
      </c>
      <c r="Q65" s="81">
        <v>44907</v>
      </c>
      <c r="R65" s="81" t="s">
        <v>496</v>
      </c>
      <c r="S65" s="81"/>
      <c r="T65" s="81" t="s">
        <v>173</v>
      </c>
      <c r="U65" s="81"/>
      <c r="V65" s="81"/>
      <c r="W65" s="81">
        <v>100</v>
      </c>
      <c r="X65" s="81">
        <v>4567</v>
      </c>
      <c r="Y65" s="81">
        <v>433</v>
      </c>
      <c r="Z65" s="81">
        <v>1500</v>
      </c>
      <c r="AA65" s="81" t="s">
        <v>336</v>
      </c>
      <c r="AB65" s="81" t="s">
        <v>188</v>
      </c>
      <c r="AC65" s="81" t="s">
        <v>337</v>
      </c>
      <c r="AD65" s="81" t="s">
        <v>336</v>
      </c>
      <c r="AE65" s="81" t="s">
        <v>338</v>
      </c>
      <c r="AF65" s="81" t="s">
        <v>227</v>
      </c>
      <c r="AG65" s="81" t="s">
        <v>339</v>
      </c>
      <c r="AH65" s="81" t="s">
        <v>191</v>
      </c>
      <c r="AI65" s="81" t="s">
        <v>192</v>
      </c>
      <c r="AJ65" s="81" t="s">
        <v>186</v>
      </c>
      <c r="AK65" s="81">
        <v>44957.125</v>
      </c>
      <c r="AL65" s="81" t="s">
        <v>178</v>
      </c>
      <c r="AM65" s="81" t="s">
        <v>179</v>
      </c>
      <c r="AN65" s="81">
        <v>0</v>
      </c>
      <c r="AO65" s="80">
        <f t="shared" si="0"/>
        <v>0</v>
      </c>
    </row>
    <row r="66" spans="1:41">
      <c r="A66" s="81" t="s">
        <v>6</v>
      </c>
      <c r="B66" s="81" t="s">
        <v>122</v>
      </c>
      <c r="C66" s="81" t="s">
        <v>168</v>
      </c>
      <c r="D66" s="81" t="s">
        <v>169</v>
      </c>
      <c r="E66" s="81" t="s">
        <v>235</v>
      </c>
      <c r="F66" s="81" t="s">
        <v>6</v>
      </c>
      <c r="G66" s="81" t="s">
        <v>63</v>
      </c>
      <c r="H66" s="81">
        <v>18</v>
      </c>
      <c r="I66" s="81">
        <v>43515</v>
      </c>
      <c r="J66" s="81"/>
      <c r="K66" s="81" t="s">
        <v>11</v>
      </c>
      <c r="L66" s="81">
        <v>4.33</v>
      </c>
      <c r="M66" s="81">
        <v>15</v>
      </c>
      <c r="N66" s="81" t="s">
        <v>55</v>
      </c>
      <c r="O66" s="81" t="s">
        <v>171</v>
      </c>
      <c r="P66" s="81" t="s">
        <v>335</v>
      </c>
      <c r="Q66" s="81">
        <v>44907</v>
      </c>
      <c r="R66" s="81" t="s">
        <v>496</v>
      </c>
      <c r="S66" s="81"/>
      <c r="T66" s="81" t="s">
        <v>173</v>
      </c>
      <c r="U66" s="81"/>
      <c r="V66" s="81"/>
      <c r="W66" s="81">
        <v>100</v>
      </c>
      <c r="X66" s="81">
        <v>4568</v>
      </c>
      <c r="Y66" s="81">
        <v>433</v>
      </c>
      <c r="Z66" s="81">
        <v>1500</v>
      </c>
      <c r="AA66" s="81" t="s">
        <v>336</v>
      </c>
      <c r="AB66" s="81" t="s">
        <v>188</v>
      </c>
      <c r="AC66" s="81" t="s">
        <v>337</v>
      </c>
      <c r="AD66" s="81" t="s">
        <v>336</v>
      </c>
      <c r="AE66" s="81" t="s">
        <v>338</v>
      </c>
      <c r="AF66" s="81" t="s">
        <v>227</v>
      </c>
      <c r="AG66" s="81" t="s">
        <v>339</v>
      </c>
      <c r="AH66" s="81" t="s">
        <v>191</v>
      </c>
      <c r="AI66" s="81" t="s">
        <v>192</v>
      </c>
      <c r="AJ66" s="81" t="s">
        <v>186</v>
      </c>
      <c r="AK66" s="81">
        <v>44957.125</v>
      </c>
      <c r="AL66" s="81" t="s">
        <v>178</v>
      </c>
      <c r="AM66" s="81" t="s">
        <v>179</v>
      </c>
      <c r="AN66" s="81">
        <v>0</v>
      </c>
      <c r="AO66" s="80">
        <f t="shared" si="0"/>
        <v>0</v>
      </c>
    </row>
    <row r="67" spans="1:41">
      <c r="A67" s="81" t="s">
        <v>6</v>
      </c>
      <c r="B67" s="81" t="s">
        <v>122</v>
      </c>
      <c r="C67" s="81" t="s">
        <v>168</v>
      </c>
      <c r="D67" s="81" t="s">
        <v>169</v>
      </c>
      <c r="E67" s="81" t="s">
        <v>235</v>
      </c>
      <c r="F67" s="81" t="s">
        <v>6</v>
      </c>
      <c r="G67" s="81" t="s">
        <v>63</v>
      </c>
      <c r="H67" s="81">
        <v>18</v>
      </c>
      <c r="I67" s="81">
        <v>43515</v>
      </c>
      <c r="J67" s="81"/>
      <c r="K67" s="81" t="s">
        <v>11</v>
      </c>
      <c r="L67" s="81">
        <v>4.33</v>
      </c>
      <c r="M67" s="81">
        <v>15</v>
      </c>
      <c r="N67" s="81" t="s">
        <v>55</v>
      </c>
      <c r="O67" s="81" t="s">
        <v>171</v>
      </c>
      <c r="P67" s="81" t="s">
        <v>335</v>
      </c>
      <c r="Q67" s="81">
        <v>44907</v>
      </c>
      <c r="R67" s="81" t="s">
        <v>496</v>
      </c>
      <c r="S67" s="81"/>
      <c r="T67" s="81" t="s">
        <v>173</v>
      </c>
      <c r="U67" s="81"/>
      <c r="V67" s="81"/>
      <c r="W67" s="81">
        <v>100</v>
      </c>
      <c r="X67" s="81">
        <v>4568</v>
      </c>
      <c r="Y67" s="81">
        <v>433</v>
      </c>
      <c r="Z67" s="81">
        <v>1500</v>
      </c>
      <c r="AA67" s="81" t="s">
        <v>336</v>
      </c>
      <c r="AB67" s="81" t="s">
        <v>188</v>
      </c>
      <c r="AC67" s="81" t="s">
        <v>337</v>
      </c>
      <c r="AD67" s="81" t="s">
        <v>336</v>
      </c>
      <c r="AE67" s="81" t="s">
        <v>338</v>
      </c>
      <c r="AF67" s="81" t="s">
        <v>227</v>
      </c>
      <c r="AG67" s="81" t="s">
        <v>339</v>
      </c>
      <c r="AH67" s="81" t="s">
        <v>191</v>
      </c>
      <c r="AI67" s="81" t="s">
        <v>192</v>
      </c>
      <c r="AJ67" s="81" t="s">
        <v>186</v>
      </c>
      <c r="AK67" s="81">
        <v>44957.125</v>
      </c>
      <c r="AL67" s="81" t="s">
        <v>178</v>
      </c>
      <c r="AM67" s="81" t="s">
        <v>179</v>
      </c>
      <c r="AN67" s="81">
        <v>0</v>
      </c>
      <c r="AO67" s="80">
        <f t="shared" ref="AO67:AO130" si="1">(L67*W67)-Y67</f>
        <v>0</v>
      </c>
    </row>
    <row r="68" spans="1:41">
      <c r="A68" s="81" t="s">
        <v>6</v>
      </c>
      <c r="B68" s="81" t="s">
        <v>122</v>
      </c>
      <c r="C68" s="81" t="s">
        <v>168</v>
      </c>
      <c r="D68" s="81" t="s">
        <v>169</v>
      </c>
      <c r="E68" s="81" t="s">
        <v>235</v>
      </c>
      <c r="F68" s="81" t="s">
        <v>6</v>
      </c>
      <c r="G68" s="81" t="s">
        <v>63</v>
      </c>
      <c r="H68" s="81">
        <v>18</v>
      </c>
      <c r="I68" s="81">
        <v>43515</v>
      </c>
      <c r="J68" s="81"/>
      <c r="K68" s="81" t="s">
        <v>11</v>
      </c>
      <c r="L68" s="81">
        <v>4.33</v>
      </c>
      <c r="M68" s="81">
        <v>15</v>
      </c>
      <c r="N68" s="81" t="s">
        <v>55</v>
      </c>
      <c r="O68" s="81" t="s">
        <v>171</v>
      </c>
      <c r="P68" s="81" t="s">
        <v>335</v>
      </c>
      <c r="Q68" s="81">
        <v>44907</v>
      </c>
      <c r="R68" s="81" t="s">
        <v>496</v>
      </c>
      <c r="S68" s="81"/>
      <c r="T68" s="81" t="s">
        <v>173</v>
      </c>
      <c r="U68" s="81"/>
      <c r="V68" s="81"/>
      <c r="W68" s="81">
        <v>100</v>
      </c>
      <c r="X68" s="81">
        <v>4568</v>
      </c>
      <c r="Y68" s="81">
        <v>433</v>
      </c>
      <c r="Z68" s="81">
        <v>1500</v>
      </c>
      <c r="AA68" s="81" t="s">
        <v>336</v>
      </c>
      <c r="AB68" s="81" t="s">
        <v>188</v>
      </c>
      <c r="AC68" s="81" t="s">
        <v>337</v>
      </c>
      <c r="AD68" s="81" t="s">
        <v>336</v>
      </c>
      <c r="AE68" s="81" t="s">
        <v>338</v>
      </c>
      <c r="AF68" s="81" t="s">
        <v>227</v>
      </c>
      <c r="AG68" s="81" t="s">
        <v>339</v>
      </c>
      <c r="AH68" s="81" t="s">
        <v>191</v>
      </c>
      <c r="AI68" s="81" t="s">
        <v>192</v>
      </c>
      <c r="AJ68" s="81" t="s">
        <v>186</v>
      </c>
      <c r="AK68" s="81">
        <v>44957.125</v>
      </c>
      <c r="AL68" s="81" t="s">
        <v>178</v>
      </c>
      <c r="AM68" s="81" t="s">
        <v>179</v>
      </c>
      <c r="AN68" s="81">
        <v>0</v>
      </c>
      <c r="AO68" s="80">
        <f t="shared" si="1"/>
        <v>0</v>
      </c>
    </row>
    <row r="69" spans="1:41">
      <c r="A69" s="81" t="s">
        <v>6</v>
      </c>
      <c r="B69" s="81" t="s">
        <v>122</v>
      </c>
      <c r="C69" s="81" t="s">
        <v>168</v>
      </c>
      <c r="D69" s="81" t="s">
        <v>169</v>
      </c>
      <c r="E69" s="81" t="s">
        <v>235</v>
      </c>
      <c r="F69" s="81" t="s">
        <v>6</v>
      </c>
      <c r="G69" s="81" t="s">
        <v>63</v>
      </c>
      <c r="H69" s="81">
        <v>18</v>
      </c>
      <c r="I69" s="81">
        <v>43515</v>
      </c>
      <c r="J69" s="81"/>
      <c r="K69" s="81" t="s">
        <v>11</v>
      </c>
      <c r="L69" s="81">
        <v>4.33</v>
      </c>
      <c r="M69" s="81">
        <v>15</v>
      </c>
      <c r="N69" s="81" t="s">
        <v>55</v>
      </c>
      <c r="O69" s="81" t="s">
        <v>171</v>
      </c>
      <c r="P69" s="81" t="s">
        <v>335</v>
      </c>
      <c r="Q69" s="81">
        <v>44907</v>
      </c>
      <c r="R69" s="81" t="s">
        <v>496</v>
      </c>
      <c r="S69" s="81"/>
      <c r="T69" s="81" t="s">
        <v>173</v>
      </c>
      <c r="U69" s="81"/>
      <c r="V69" s="81"/>
      <c r="W69" s="81">
        <v>100</v>
      </c>
      <c r="X69" s="81">
        <v>4568</v>
      </c>
      <c r="Y69" s="81">
        <v>433</v>
      </c>
      <c r="Z69" s="81">
        <v>1500</v>
      </c>
      <c r="AA69" s="81" t="s">
        <v>336</v>
      </c>
      <c r="AB69" s="81" t="s">
        <v>188</v>
      </c>
      <c r="AC69" s="81" t="s">
        <v>337</v>
      </c>
      <c r="AD69" s="81" t="s">
        <v>336</v>
      </c>
      <c r="AE69" s="81" t="s">
        <v>338</v>
      </c>
      <c r="AF69" s="81" t="s">
        <v>227</v>
      </c>
      <c r="AG69" s="81" t="s">
        <v>339</v>
      </c>
      <c r="AH69" s="81" t="s">
        <v>191</v>
      </c>
      <c r="AI69" s="81" t="s">
        <v>192</v>
      </c>
      <c r="AJ69" s="81" t="s">
        <v>186</v>
      </c>
      <c r="AK69" s="81">
        <v>44957.125</v>
      </c>
      <c r="AL69" s="81" t="s">
        <v>178</v>
      </c>
      <c r="AM69" s="81" t="s">
        <v>179</v>
      </c>
      <c r="AN69" s="81">
        <v>0</v>
      </c>
      <c r="AO69" s="80">
        <f t="shared" si="1"/>
        <v>0</v>
      </c>
    </row>
    <row r="70" spans="1:41">
      <c r="A70" s="81" t="s">
        <v>6</v>
      </c>
      <c r="B70" s="81" t="s">
        <v>122</v>
      </c>
      <c r="C70" s="81" t="s">
        <v>168</v>
      </c>
      <c r="D70" s="81" t="s">
        <v>169</v>
      </c>
      <c r="E70" s="81" t="s">
        <v>235</v>
      </c>
      <c r="F70" s="81" t="s">
        <v>6</v>
      </c>
      <c r="G70" s="81" t="s">
        <v>63</v>
      </c>
      <c r="H70" s="81">
        <v>18</v>
      </c>
      <c r="I70" s="81">
        <v>43515</v>
      </c>
      <c r="J70" s="81"/>
      <c r="K70" s="81" t="s">
        <v>11</v>
      </c>
      <c r="L70" s="81">
        <v>4.33</v>
      </c>
      <c r="M70" s="81">
        <v>15</v>
      </c>
      <c r="N70" s="81" t="s">
        <v>55</v>
      </c>
      <c r="O70" s="81" t="s">
        <v>171</v>
      </c>
      <c r="P70" s="81" t="s">
        <v>335</v>
      </c>
      <c r="Q70" s="81">
        <v>44907</v>
      </c>
      <c r="R70" s="81" t="s">
        <v>496</v>
      </c>
      <c r="S70" s="81"/>
      <c r="T70" s="81" t="s">
        <v>173</v>
      </c>
      <c r="U70" s="81"/>
      <c r="V70" s="81"/>
      <c r="W70" s="81">
        <v>100</v>
      </c>
      <c r="X70" s="81">
        <v>4568</v>
      </c>
      <c r="Y70" s="81">
        <v>433</v>
      </c>
      <c r="Z70" s="81">
        <v>1500</v>
      </c>
      <c r="AA70" s="81" t="s">
        <v>336</v>
      </c>
      <c r="AB70" s="81" t="s">
        <v>188</v>
      </c>
      <c r="AC70" s="81" t="s">
        <v>337</v>
      </c>
      <c r="AD70" s="81" t="s">
        <v>336</v>
      </c>
      <c r="AE70" s="81" t="s">
        <v>338</v>
      </c>
      <c r="AF70" s="81" t="s">
        <v>227</v>
      </c>
      <c r="AG70" s="81" t="s">
        <v>339</v>
      </c>
      <c r="AH70" s="81" t="s">
        <v>191</v>
      </c>
      <c r="AI70" s="81" t="s">
        <v>192</v>
      </c>
      <c r="AJ70" s="81" t="s">
        <v>186</v>
      </c>
      <c r="AK70" s="81">
        <v>44957.125</v>
      </c>
      <c r="AL70" s="81" t="s">
        <v>178</v>
      </c>
      <c r="AM70" s="81" t="s">
        <v>179</v>
      </c>
      <c r="AN70" s="81">
        <v>0</v>
      </c>
      <c r="AO70" s="80">
        <f t="shared" si="1"/>
        <v>0</v>
      </c>
    </row>
    <row r="71" spans="1:41">
      <c r="A71" s="81" t="s">
        <v>6</v>
      </c>
      <c r="B71" s="81" t="s">
        <v>122</v>
      </c>
      <c r="C71" s="81" t="s">
        <v>168</v>
      </c>
      <c r="D71" s="81" t="s">
        <v>169</v>
      </c>
      <c r="E71" s="81" t="s">
        <v>235</v>
      </c>
      <c r="F71" s="81" t="s">
        <v>6</v>
      </c>
      <c r="G71" s="81" t="s">
        <v>63</v>
      </c>
      <c r="H71" s="81">
        <v>18</v>
      </c>
      <c r="I71" s="81">
        <v>43515</v>
      </c>
      <c r="J71" s="81"/>
      <c r="K71" s="81" t="s">
        <v>11</v>
      </c>
      <c r="L71" s="81">
        <v>4.33</v>
      </c>
      <c r="M71" s="81">
        <v>15</v>
      </c>
      <c r="N71" s="81" t="s">
        <v>55</v>
      </c>
      <c r="O71" s="81" t="s">
        <v>171</v>
      </c>
      <c r="P71" s="81" t="s">
        <v>335</v>
      </c>
      <c r="Q71" s="81">
        <v>44907</v>
      </c>
      <c r="R71" s="81" t="s">
        <v>496</v>
      </c>
      <c r="S71" s="81"/>
      <c r="T71" s="81" t="s">
        <v>173</v>
      </c>
      <c r="U71" s="81"/>
      <c r="V71" s="81"/>
      <c r="W71" s="81">
        <v>100</v>
      </c>
      <c r="X71" s="81">
        <v>4568</v>
      </c>
      <c r="Y71" s="81">
        <v>433</v>
      </c>
      <c r="Z71" s="81">
        <v>1500</v>
      </c>
      <c r="AA71" s="81" t="s">
        <v>336</v>
      </c>
      <c r="AB71" s="81" t="s">
        <v>188</v>
      </c>
      <c r="AC71" s="81" t="s">
        <v>337</v>
      </c>
      <c r="AD71" s="81" t="s">
        <v>336</v>
      </c>
      <c r="AE71" s="81" t="s">
        <v>338</v>
      </c>
      <c r="AF71" s="81" t="s">
        <v>227</v>
      </c>
      <c r="AG71" s="81" t="s">
        <v>339</v>
      </c>
      <c r="AH71" s="81" t="s">
        <v>191</v>
      </c>
      <c r="AI71" s="81" t="s">
        <v>192</v>
      </c>
      <c r="AJ71" s="81" t="s">
        <v>186</v>
      </c>
      <c r="AK71" s="81">
        <v>44957.125</v>
      </c>
      <c r="AL71" s="81" t="s">
        <v>178</v>
      </c>
      <c r="AM71" s="81" t="s">
        <v>179</v>
      </c>
      <c r="AN71" s="81">
        <v>0</v>
      </c>
      <c r="AO71" s="80">
        <f t="shared" si="1"/>
        <v>0</v>
      </c>
    </row>
    <row r="72" spans="1:41">
      <c r="A72" s="81" t="s">
        <v>6</v>
      </c>
      <c r="B72" s="81" t="s">
        <v>122</v>
      </c>
      <c r="C72" s="81" t="s">
        <v>168</v>
      </c>
      <c r="D72" s="81" t="s">
        <v>169</v>
      </c>
      <c r="E72" s="81" t="s">
        <v>235</v>
      </c>
      <c r="F72" s="81" t="s">
        <v>6</v>
      </c>
      <c r="G72" s="81" t="s">
        <v>63</v>
      </c>
      <c r="H72" s="81">
        <v>18</v>
      </c>
      <c r="I72" s="81">
        <v>43515</v>
      </c>
      <c r="J72" s="81"/>
      <c r="K72" s="81" t="s">
        <v>11</v>
      </c>
      <c r="L72" s="81">
        <v>4.33</v>
      </c>
      <c r="M72" s="81">
        <v>15</v>
      </c>
      <c r="N72" s="81" t="s">
        <v>55</v>
      </c>
      <c r="O72" s="81" t="s">
        <v>171</v>
      </c>
      <c r="P72" s="81" t="s">
        <v>335</v>
      </c>
      <c r="Q72" s="81">
        <v>44907</v>
      </c>
      <c r="R72" s="81" t="s">
        <v>496</v>
      </c>
      <c r="S72" s="81"/>
      <c r="T72" s="81" t="s">
        <v>173</v>
      </c>
      <c r="U72" s="81"/>
      <c r="V72" s="81"/>
      <c r="W72" s="81">
        <v>100</v>
      </c>
      <c r="X72" s="81">
        <v>4568</v>
      </c>
      <c r="Y72" s="81">
        <v>433</v>
      </c>
      <c r="Z72" s="81">
        <v>1500</v>
      </c>
      <c r="AA72" s="81" t="s">
        <v>336</v>
      </c>
      <c r="AB72" s="81" t="s">
        <v>188</v>
      </c>
      <c r="AC72" s="81" t="s">
        <v>337</v>
      </c>
      <c r="AD72" s="81" t="s">
        <v>336</v>
      </c>
      <c r="AE72" s="81" t="s">
        <v>338</v>
      </c>
      <c r="AF72" s="81" t="s">
        <v>227</v>
      </c>
      <c r="AG72" s="81" t="s">
        <v>339</v>
      </c>
      <c r="AH72" s="81" t="s">
        <v>191</v>
      </c>
      <c r="AI72" s="81" t="s">
        <v>192</v>
      </c>
      <c r="AJ72" s="81" t="s">
        <v>186</v>
      </c>
      <c r="AK72" s="81">
        <v>44957.125</v>
      </c>
      <c r="AL72" s="81" t="s">
        <v>178</v>
      </c>
      <c r="AM72" s="81" t="s">
        <v>179</v>
      </c>
      <c r="AN72" s="81">
        <v>0</v>
      </c>
      <c r="AO72" s="80">
        <f t="shared" si="1"/>
        <v>0</v>
      </c>
    </row>
    <row r="73" spans="1:41">
      <c r="A73" s="81" t="s">
        <v>6</v>
      </c>
      <c r="B73" s="81" t="s">
        <v>122</v>
      </c>
      <c r="C73" s="81" t="s">
        <v>168</v>
      </c>
      <c r="D73" s="81" t="s">
        <v>169</v>
      </c>
      <c r="E73" s="81" t="s">
        <v>235</v>
      </c>
      <c r="F73" s="81" t="s">
        <v>6</v>
      </c>
      <c r="G73" s="81" t="s">
        <v>63</v>
      </c>
      <c r="H73" s="81">
        <v>18</v>
      </c>
      <c r="I73" s="81">
        <v>43515</v>
      </c>
      <c r="J73" s="81"/>
      <c r="K73" s="81" t="s">
        <v>11</v>
      </c>
      <c r="L73" s="81">
        <v>4.33</v>
      </c>
      <c r="M73" s="81">
        <v>15</v>
      </c>
      <c r="N73" s="81" t="s">
        <v>55</v>
      </c>
      <c r="O73" s="81" t="s">
        <v>171</v>
      </c>
      <c r="P73" s="81" t="s">
        <v>335</v>
      </c>
      <c r="Q73" s="81">
        <v>44907</v>
      </c>
      <c r="R73" s="81" t="s">
        <v>496</v>
      </c>
      <c r="S73" s="81"/>
      <c r="T73" s="81" t="s">
        <v>173</v>
      </c>
      <c r="U73" s="81"/>
      <c r="V73" s="81"/>
      <c r="W73" s="81">
        <v>100</v>
      </c>
      <c r="X73" s="81">
        <v>4568</v>
      </c>
      <c r="Y73" s="81">
        <v>433</v>
      </c>
      <c r="Z73" s="81">
        <v>1500</v>
      </c>
      <c r="AA73" s="81" t="s">
        <v>336</v>
      </c>
      <c r="AB73" s="81" t="s">
        <v>188</v>
      </c>
      <c r="AC73" s="81" t="s">
        <v>337</v>
      </c>
      <c r="AD73" s="81" t="s">
        <v>336</v>
      </c>
      <c r="AE73" s="81" t="s">
        <v>338</v>
      </c>
      <c r="AF73" s="81" t="s">
        <v>227</v>
      </c>
      <c r="AG73" s="81" t="s">
        <v>339</v>
      </c>
      <c r="AH73" s="81" t="s">
        <v>191</v>
      </c>
      <c r="AI73" s="81" t="s">
        <v>192</v>
      </c>
      <c r="AJ73" s="81" t="s">
        <v>186</v>
      </c>
      <c r="AK73" s="81">
        <v>44957.125</v>
      </c>
      <c r="AL73" s="81" t="s">
        <v>178</v>
      </c>
      <c r="AM73" s="81" t="s">
        <v>179</v>
      </c>
      <c r="AN73" s="81">
        <v>0</v>
      </c>
      <c r="AO73" s="80">
        <f t="shared" si="1"/>
        <v>0</v>
      </c>
    </row>
    <row r="74" spans="1:41">
      <c r="A74" s="81" t="s">
        <v>6</v>
      </c>
      <c r="B74" s="81" t="s">
        <v>122</v>
      </c>
      <c r="C74" s="81" t="s">
        <v>168</v>
      </c>
      <c r="D74" s="81" t="s">
        <v>169</v>
      </c>
      <c r="E74" s="81" t="s">
        <v>235</v>
      </c>
      <c r="F74" s="81" t="s">
        <v>6</v>
      </c>
      <c r="G74" s="81" t="s">
        <v>63</v>
      </c>
      <c r="H74" s="81">
        <v>18</v>
      </c>
      <c r="I74" s="81">
        <v>43515</v>
      </c>
      <c r="J74" s="81"/>
      <c r="K74" s="81" t="s">
        <v>11</v>
      </c>
      <c r="L74" s="81">
        <v>4.33</v>
      </c>
      <c r="M74" s="81">
        <v>15</v>
      </c>
      <c r="N74" s="81" t="s">
        <v>55</v>
      </c>
      <c r="O74" s="81" t="s">
        <v>171</v>
      </c>
      <c r="P74" s="81" t="s">
        <v>335</v>
      </c>
      <c r="Q74" s="81">
        <v>44907</v>
      </c>
      <c r="R74" s="81" t="s">
        <v>496</v>
      </c>
      <c r="S74" s="81"/>
      <c r="T74" s="81" t="s">
        <v>173</v>
      </c>
      <c r="U74" s="81"/>
      <c r="V74" s="81"/>
      <c r="W74" s="81">
        <v>100</v>
      </c>
      <c r="X74" s="81">
        <v>4568</v>
      </c>
      <c r="Y74" s="81">
        <v>433</v>
      </c>
      <c r="Z74" s="81">
        <v>1500</v>
      </c>
      <c r="AA74" s="81" t="s">
        <v>336</v>
      </c>
      <c r="AB74" s="81" t="s">
        <v>188</v>
      </c>
      <c r="AC74" s="81" t="s">
        <v>337</v>
      </c>
      <c r="AD74" s="81" t="s">
        <v>336</v>
      </c>
      <c r="AE74" s="81" t="s">
        <v>338</v>
      </c>
      <c r="AF74" s="81" t="s">
        <v>227</v>
      </c>
      <c r="AG74" s="81" t="s">
        <v>339</v>
      </c>
      <c r="AH74" s="81" t="s">
        <v>191</v>
      </c>
      <c r="AI74" s="81" t="s">
        <v>192</v>
      </c>
      <c r="AJ74" s="81" t="s">
        <v>186</v>
      </c>
      <c r="AK74" s="81">
        <v>44957.125</v>
      </c>
      <c r="AL74" s="81" t="s">
        <v>178</v>
      </c>
      <c r="AM74" s="81" t="s">
        <v>179</v>
      </c>
      <c r="AN74" s="81">
        <v>0</v>
      </c>
      <c r="AO74" s="80">
        <f t="shared" si="1"/>
        <v>0</v>
      </c>
    </row>
    <row r="75" spans="1:41">
      <c r="A75" s="81" t="s">
        <v>6</v>
      </c>
      <c r="B75" s="81" t="s">
        <v>122</v>
      </c>
      <c r="C75" s="81" t="s">
        <v>168</v>
      </c>
      <c r="D75" s="81" t="s">
        <v>169</v>
      </c>
      <c r="E75" s="81" t="s">
        <v>235</v>
      </c>
      <c r="F75" s="81" t="s">
        <v>6</v>
      </c>
      <c r="G75" s="81" t="s">
        <v>63</v>
      </c>
      <c r="H75" s="81">
        <v>18</v>
      </c>
      <c r="I75" s="81">
        <v>43515</v>
      </c>
      <c r="J75" s="81"/>
      <c r="K75" s="81" t="s">
        <v>11</v>
      </c>
      <c r="L75" s="81">
        <v>4.33</v>
      </c>
      <c r="M75" s="81">
        <v>15</v>
      </c>
      <c r="N75" s="81" t="s">
        <v>55</v>
      </c>
      <c r="O75" s="81" t="s">
        <v>171</v>
      </c>
      <c r="P75" s="81" t="s">
        <v>335</v>
      </c>
      <c r="Q75" s="81">
        <v>44907</v>
      </c>
      <c r="R75" s="81" t="s">
        <v>496</v>
      </c>
      <c r="S75" s="81"/>
      <c r="T75" s="81" t="s">
        <v>173</v>
      </c>
      <c r="U75" s="81"/>
      <c r="V75" s="81"/>
      <c r="W75" s="81">
        <v>100</v>
      </c>
      <c r="X75" s="81">
        <v>4568</v>
      </c>
      <c r="Y75" s="81">
        <v>433</v>
      </c>
      <c r="Z75" s="81">
        <v>1500</v>
      </c>
      <c r="AA75" s="81" t="s">
        <v>336</v>
      </c>
      <c r="AB75" s="81" t="s">
        <v>188</v>
      </c>
      <c r="AC75" s="81" t="s">
        <v>337</v>
      </c>
      <c r="AD75" s="81" t="s">
        <v>336</v>
      </c>
      <c r="AE75" s="81" t="s">
        <v>338</v>
      </c>
      <c r="AF75" s="81" t="s">
        <v>227</v>
      </c>
      <c r="AG75" s="81" t="s">
        <v>339</v>
      </c>
      <c r="AH75" s="81" t="s">
        <v>191</v>
      </c>
      <c r="AI75" s="81" t="s">
        <v>192</v>
      </c>
      <c r="AJ75" s="81" t="s">
        <v>186</v>
      </c>
      <c r="AK75" s="81">
        <v>44957.125</v>
      </c>
      <c r="AL75" s="81" t="s">
        <v>178</v>
      </c>
      <c r="AM75" s="81" t="s">
        <v>179</v>
      </c>
      <c r="AN75" s="81">
        <v>0</v>
      </c>
      <c r="AO75" s="80">
        <f t="shared" si="1"/>
        <v>0</v>
      </c>
    </row>
    <row r="76" spans="1:41">
      <c r="A76" s="81" t="s">
        <v>91</v>
      </c>
      <c r="B76" s="81" t="s">
        <v>117</v>
      </c>
      <c r="C76" s="81" t="s">
        <v>168</v>
      </c>
      <c r="D76" s="81" t="s">
        <v>169</v>
      </c>
      <c r="E76" s="81" t="s">
        <v>236</v>
      </c>
      <c r="F76" s="81" t="s">
        <v>236</v>
      </c>
      <c r="G76" s="81" t="s">
        <v>99</v>
      </c>
      <c r="H76" s="81">
        <v>18</v>
      </c>
      <c r="I76" s="81">
        <v>43515</v>
      </c>
      <c r="J76" s="81"/>
      <c r="K76" s="81" t="s">
        <v>282</v>
      </c>
      <c r="L76" s="81">
        <v>1.1000000000000001</v>
      </c>
      <c r="M76" s="81">
        <v>5</v>
      </c>
      <c r="N76" s="81" t="s">
        <v>55</v>
      </c>
      <c r="O76" s="81" t="s">
        <v>171</v>
      </c>
      <c r="P76" s="81" t="s">
        <v>196</v>
      </c>
      <c r="Q76" s="81">
        <v>44865</v>
      </c>
      <c r="R76" s="81" t="s">
        <v>497</v>
      </c>
      <c r="S76" s="81">
        <v>92</v>
      </c>
      <c r="T76" s="81" t="s">
        <v>173</v>
      </c>
      <c r="U76" s="81"/>
      <c r="V76" s="81"/>
      <c r="W76" s="81">
        <v>212</v>
      </c>
      <c r="X76" s="81">
        <v>9650</v>
      </c>
      <c r="Y76" s="81">
        <v>233.2</v>
      </c>
      <c r="Z76" s="81">
        <v>1060</v>
      </c>
      <c r="AA76" s="81" t="s">
        <v>498</v>
      </c>
      <c r="AB76" s="81" t="s">
        <v>174</v>
      </c>
      <c r="AC76" s="81" t="s">
        <v>499</v>
      </c>
      <c r="AD76" s="81" t="s">
        <v>500</v>
      </c>
      <c r="AE76" s="81" t="s">
        <v>501</v>
      </c>
      <c r="AF76" s="81" t="s">
        <v>182</v>
      </c>
      <c r="AG76" s="81" t="s">
        <v>197</v>
      </c>
      <c r="AH76" s="81" t="s">
        <v>181</v>
      </c>
      <c r="AI76" s="81" t="s">
        <v>182</v>
      </c>
      <c r="AJ76" s="81" t="s">
        <v>177</v>
      </c>
      <c r="AK76" s="81">
        <v>44957.25</v>
      </c>
      <c r="AL76" s="81" t="s">
        <v>178</v>
      </c>
      <c r="AM76" s="81" t="s">
        <v>179</v>
      </c>
      <c r="AN76" s="81">
        <v>0</v>
      </c>
      <c r="AO76" s="80">
        <f t="shared" si="1"/>
        <v>0</v>
      </c>
    </row>
    <row r="77" spans="1:41">
      <c r="A77" s="81" t="s">
        <v>91</v>
      </c>
      <c r="B77" s="81" t="s">
        <v>117</v>
      </c>
      <c r="C77" s="81" t="s">
        <v>168</v>
      </c>
      <c r="D77" s="81" t="s">
        <v>169</v>
      </c>
      <c r="E77" s="81" t="s">
        <v>236</v>
      </c>
      <c r="F77" s="81" t="s">
        <v>236</v>
      </c>
      <c r="G77" s="81" t="s">
        <v>99</v>
      </c>
      <c r="H77" s="81">
        <v>18</v>
      </c>
      <c r="I77" s="81">
        <v>43515</v>
      </c>
      <c r="J77" s="81"/>
      <c r="K77" s="81" t="s">
        <v>282</v>
      </c>
      <c r="L77" s="81">
        <v>1.1000000000000001</v>
      </c>
      <c r="M77" s="81">
        <v>5</v>
      </c>
      <c r="N77" s="81" t="s">
        <v>55</v>
      </c>
      <c r="O77" s="81" t="s">
        <v>171</v>
      </c>
      <c r="P77" s="81" t="s">
        <v>502</v>
      </c>
      <c r="Q77" s="81">
        <v>44834</v>
      </c>
      <c r="R77" s="81" t="s">
        <v>503</v>
      </c>
      <c r="S77" s="81">
        <v>92</v>
      </c>
      <c r="T77" s="81" t="s">
        <v>173</v>
      </c>
      <c r="U77" s="81"/>
      <c r="V77" s="81"/>
      <c r="W77" s="81">
        <v>133</v>
      </c>
      <c r="X77" s="81">
        <v>4197</v>
      </c>
      <c r="Y77" s="81">
        <v>146.30000000000001</v>
      </c>
      <c r="Z77" s="81">
        <v>665</v>
      </c>
      <c r="AA77" s="81" t="s">
        <v>504</v>
      </c>
      <c r="AB77" s="81" t="s">
        <v>174</v>
      </c>
      <c r="AC77" s="81" t="s">
        <v>505</v>
      </c>
      <c r="AD77" s="81" t="s">
        <v>506</v>
      </c>
      <c r="AE77" s="81" t="s">
        <v>507</v>
      </c>
      <c r="AF77" s="81" t="s">
        <v>216</v>
      </c>
      <c r="AG77" s="81" t="s">
        <v>218</v>
      </c>
      <c r="AH77" s="81" t="s">
        <v>217</v>
      </c>
      <c r="AI77" s="81" t="s">
        <v>182</v>
      </c>
      <c r="AJ77" s="81" t="s">
        <v>177</v>
      </c>
      <c r="AK77" s="81">
        <v>44971.125</v>
      </c>
      <c r="AL77" s="81" t="s">
        <v>178</v>
      </c>
      <c r="AM77" s="81" t="s">
        <v>179</v>
      </c>
      <c r="AN77" s="81">
        <v>0</v>
      </c>
      <c r="AO77" s="80">
        <f t="shared" si="1"/>
        <v>0</v>
      </c>
    </row>
    <row r="78" spans="1:41">
      <c r="A78" s="81" t="s">
        <v>6</v>
      </c>
      <c r="B78" s="81" t="s">
        <v>122</v>
      </c>
      <c r="C78" s="81" t="s">
        <v>168</v>
      </c>
      <c r="D78" s="81" t="s">
        <v>169</v>
      </c>
      <c r="E78" s="81" t="s">
        <v>235</v>
      </c>
      <c r="F78" s="81" t="s">
        <v>6</v>
      </c>
      <c r="G78" s="81" t="s">
        <v>63</v>
      </c>
      <c r="H78" s="81">
        <v>18</v>
      </c>
      <c r="I78" s="81">
        <v>43515</v>
      </c>
      <c r="J78" s="81"/>
      <c r="K78" s="81" t="s">
        <v>11</v>
      </c>
      <c r="L78" s="81">
        <v>4.33</v>
      </c>
      <c r="M78" s="81">
        <v>15</v>
      </c>
      <c r="N78" s="81" t="s">
        <v>55</v>
      </c>
      <c r="O78" s="81" t="s">
        <v>171</v>
      </c>
      <c r="P78" s="81" t="s">
        <v>508</v>
      </c>
      <c r="Q78" s="81">
        <v>44957</v>
      </c>
      <c r="R78" s="81" t="s">
        <v>509</v>
      </c>
      <c r="S78" s="81"/>
      <c r="T78" s="81" t="s">
        <v>173</v>
      </c>
      <c r="U78" s="81"/>
      <c r="V78" s="81"/>
      <c r="W78" s="81">
        <v>100</v>
      </c>
      <c r="X78" s="81">
        <v>2120</v>
      </c>
      <c r="Y78" s="81">
        <v>433</v>
      </c>
      <c r="Z78" s="81">
        <v>1500</v>
      </c>
      <c r="AA78" s="81" t="s">
        <v>379</v>
      </c>
      <c r="AB78" s="81" t="s">
        <v>183</v>
      </c>
      <c r="AC78" s="81" t="s">
        <v>380</v>
      </c>
      <c r="AD78" s="81" t="s">
        <v>381</v>
      </c>
      <c r="AE78" s="81" t="s">
        <v>382</v>
      </c>
      <c r="AF78" s="81" t="s">
        <v>216</v>
      </c>
      <c r="AG78" s="81" t="s">
        <v>218</v>
      </c>
      <c r="AH78" s="81" t="s">
        <v>217</v>
      </c>
      <c r="AI78" s="81" t="s">
        <v>182</v>
      </c>
      <c r="AJ78" s="81" t="s">
        <v>177</v>
      </c>
      <c r="AK78" s="81">
        <v>45003.125</v>
      </c>
      <c r="AL78" s="81" t="s">
        <v>178</v>
      </c>
      <c r="AM78" s="81" t="s">
        <v>179</v>
      </c>
      <c r="AN78" s="81">
        <v>0</v>
      </c>
      <c r="AO78" s="80">
        <f t="shared" si="1"/>
        <v>0</v>
      </c>
    </row>
    <row r="79" spans="1:41">
      <c r="A79" s="81" t="s">
        <v>6</v>
      </c>
      <c r="B79" s="81" t="s">
        <v>122</v>
      </c>
      <c r="C79" s="81" t="s">
        <v>168</v>
      </c>
      <c r="D79" s="81" t="s">
        <v>169</v>
      </c>
      <c r="E79" s="81" t="s">
        <v>235</v>
      </c>
      <c r="F79" s="81" t="s">
        <v>6</v>
      </c>
      <c r="G79" s="81" t="s">
        <v>63</v>
      </c>
      <c r="H79" s="81">
        <v>18</v>
      </c>
      <c r="I79" s="81">
        <v>43515</v>
      </c>
      <c r="J79" s="81"/>
      <c r="K79" s="81" t="s">
        <v>11</v>
      </c>
      <c r="L79" s="81">
        <v>4.33</v>
      </c>
      <c r="M79" s="81">
        <v>15</v>
      </c>
      <c r="N79" s="81" t="s">
        <v>55</v>
      </c>
      <c r="O79" s="81" t="s">
        <v>171</v>
      </c>
      <c r="P79" s="81" t="s">
        <v>508</v>
      </c>
      <c r="Q79" s="81">
        <v>44957</v>
      </c>
      <c r="R79" s="81" t="s">
        <v>509</v>
      </c>
      <c r="S79" s="81"/>
      <c r="T79" s="81" t="s">
        <v>173</v>
      </c>
      <c r="U79" s="81"/>
      <c r="V79" s="81"/>
      <c r="W79" s="81">
        <v>100</v>
      </c>
      <c r="X79" s="81">
        <v>2120</v>
      </c>
      <c r="Y79" s="81">
        <v>433</v>
      </c>
      <c r="Z79" s="81">
        <v>1500</v>
      </c>
      <c r="AA79" s="81" t="s">
        <v>379</v>
      </c>
      <c r="AB79" s="81" t="s">
        <v>183</v>
      </c>
      <c r="AC79" s="81" t="s">
        <v>380</v>
      </c>
      <c r="AD79" s="81" t="s">
        <v>381</v>
      </c>
      <c r="AE79" s="81" t="s">
        <v>382</v>
      </c>
      <c r="AF79" s="81" t="s">
        <v>216</v>
      </c>
      <c r="AG79" s="81" t="s">
        <v>218</v>
      </c>
      <c r="AH79" s="81" t="s">
        <v>217</v>
      </c>
      <c r="AI79" s="81" t="s">
        <v>182</v>
      </c>
      <c r="AJ79" s="81" t="s">
        <v>177</v>
      </c>
      <c r="AK79" s="81">
        <v>45003.125</v>
      </c>
      <c r="AL79" s="81" t="s">
        <v>178</v>
      </c>
      <c r="AM79" s="81" t="s">
        <v>179</v>
      </c>
      <c r="AN79" s="81">
        <v>0</v>
      </c>
      <c r="AO79" s="80">
        <f t="shared" si="1"/>
        <v>0</v>
      </c>
    </row>
    <row r="80" spans="1:41">
      <c r="A80" s="81" t="s">
        <v>6</v>
      </c>
      <c r="B80" s="81" t="s">
        <v>122</v>
      </c>
      <c r="C80" s="81" t="s">
        <v>168</v>
      </c>
      <c r="D80" s="81" t="s">
        <v>169</v>
      </c>
      <c r="E80" s="81" t="s">
        <v>235</v>
      </c>
      <c r="F80" s="81" t="s">
        <v>6</v>
      </c>
      <c r="G80" s="81" t="s">
        <v>63</v>
      </c>
      <c r="H80" s="81">
        <v>18</v>
      </c>
      <c r="I80" s="81">
        <v>43515</v>
      </c>
      <c r="J80" s="81"/>
      <c r="K80" s="81" t="s">
        <v>11</v>
      </c>
      <c r="L80" s="81">
        <v>4.33</v>
      </c>
      <c r="M80" s="81">
        <v>15</v>
      </c>
      <c r="N80" s="81" t="s">
        <v>55</v>
      </c>
      <c r="O80" s="81" t="s">
        <v>171</v>
      </c>
      <c r="P80" s="81" t="s">
        <v>172</v>
      </c>
      <c r="Q80" s="81">
        <v>44632</v>
      </c>
      <c r="R80" s="81" t="s">
        <v>510</v>
      </c>
      <c r="S80" s="81"/>
      <c r="T80" s="81" t="s">
        <v>511</v>
      </c>
      <c r="U80" s="81"/>
      <c r="V80" s="81"/>
      <c r="W80" s="81">
        <v>90</v>
      </c>
      <c r="X80" s="81">
        <v>1038.93</v>
      </c>
      <c r="Y80" s="81">
        <v>389.7</v>
      </c>
      <c r="Z80" s="81">
        <v>975.18</v>
      </c>
      <c r="AA80" s="81" t="s">
        <v>512</v>
      </c>
      <c r="AB80" s="81" t="s">
        <v>174</v>
      </c>
      <c r="AC80" s="81" t="s">
        <v>513</v>
      </c>
      <c r="AD80" s="81" t="s">
        <v>514</v>
      </c>
      <c r="AE80" s="81" t="s">
        <v>515</v>
      </c>
      <c r="AF80" s="81" t="s">
        <v>182</v>
      </c>
      <c r="AG80" s="81" t="s">
        <v>516</v>
      </c>
      <c r="AH80" s="81" t="s">
        <v>181</v>
      </c>
      <c r="AI80" s="81" t="s">
        <v>182</v>
      </c>
      <c r="AJ80" s="81" t="s">
        <v>177</v>
      </c>
      <c r="AK80" s="81">
        <v>45003.125</v>
      </c>
      <c r="AL80" s="81" t="s">
        <v>233</v>
      </c>
      <c r="AM80" s="81" t="s">
        <v>179</v>
      </c>
      <c r="AN80" s="81">
        <v>0</v>
      </c>
      <c r="AO80" s="80">
        <f t="shared" si="1"/>
        <v>0</v>
      </c>
    </row>
    <row r="81" spans="1:41">
      <c r="A81" s="81" t="s">
        <v>6</v>
      </c>
      <c r="B81" s="81" t="s">
        <v>122</v>
      </c>
      <c r="C81" s="81" t="s">
        <v>168</v>
      </c>
      <c r="D81" s="81" t="s">
        <v>169</v>
      </c>
      <c r="E81" s="81" t="s">
        <v>235</v>
      </c>
      <c r="F81" s="81" t="s">
        <v>6</v>
      </c>
      <c r="G81" s="81" t="s">
        <v>63</v>
      </c>
      <c r="H81" s="81">
        <v>18</v>
      </c>
      <c r="I81" s="81">
        <v>43515</v>
      </c>
      <c r="J81" s="81"/>
      <c r="K81" s="81" t="s">
        <v>11</v>
      </c>
      <c r="L81" s="81">
        <v>4.33</v>
      </c>
      <c r="M81" s="81">
        <v>15</v>
      </c>
      <c r="N81" s="81" t="s">
        <v>55</v>
      </c>
      <c r="O81" s="81" t="s">
        <v>171</v>
      </c>
      <c r="P81" s="81" t="s">
        <v>172</v>
      </c>
      <c r="Q81" s="81">
        <v>44632</v>
      </c>
      <c r="R81" s="81" t="s">
        <v>510</v>
      </c>
      <c r="S81" s="81"/>
      <c r="T81" s="81" t="s">
        <v>511</v>
      </c>
      <c r="U81" s="81"/>
      <c r="V81" s="81"/>
      <c r="W81" s="81">
        <v>90</v>
      </c>
      <c r="X81" s="81">
        <v>1038.93</v>
      </c>
      <c r="Y81" s="81">
        <v>389.7</v>
      </c>
      <c r="Z81" s="81">
        <v>975.18</v>
      </c>
      <c r="AA81" s="81" t="s">
        <v>512</v>
      </c>
      <c r="AB81" s="81" t="s">
        <v>174</v>
      </c>
      <c r="AC81" s="81" t="s">
        <v>513</v>
      </c>
      <c r="AD81" s="81" t="s">
        <v>514</v>
      </c>
      <c r="AE81" s="81" t="s">
        <v>515</v>
      </c>
      <c r="AF81" s="81" t="s">
        <v>182</v>
      </c>
      <c r="AG81" s="81" t="s">
        <v>516</v>
      </c>
      <c r="AH81" s="81" t="s">
        <v>181</v>
      </c>
      <c r="AI81" s="81" t="s">
        <v>182</v>
      </c>
      <c r="AJ81" s="81" t="s">
        <v>177</v>
      </c>
      <c r="AK81" s="81">
        <v>45003.125</v>
      </c>
      <c r="AL81" s="81" t="s">
        <v>233</v>
      </c>
      <c r="AM81" s="81" t="s">
        <v>179</v>
      </c>
      <c r="AN81" s="81">
        <v>0</v>
      </c>
      <c r="AO81" s="80">
        <f t="shared" si="1"/>
        <v>0</v>
      </c>
    </row>
    <row r="82" spans="1:41">
      <c r="A82" s="81" t="s">
        <v>6</v>
      </c>
      <c r="B82" s="81" t="s">
        <v>122</v>
      </c>
      <c r="C82" s="81" t="s">
        <v>168</v>
      </c>
      <c r="D82" s="81" t="s">
        <v>169</v>
      </c>
      <c r="E82" s="81" t="s">
        <v>235</v>
      </c>
      <c r="F82" s="81" t="s">
        <v>6</v>
      </c>
      <c r="G82" s="81" t="s">
        <v>63</v>
      </c>
      <c r="H82" s="81">
        <v>18</v>
      </c>
      <c r="I82" s="81">
        <v>43515</v>
      </c>
      <c r="J82" s="81"/>
      <c r="K82" s="81" t="s">
        <v>11</v>
      </c>
      <c r="L82" s="81">
        <v>4.33</v>
      </c>
      <c r="M82" s="81">
        <v>15</v>
      </c>
      <c r="N82" s="81" t="s">
        <v>55</v>
      </c>
      <c r="O82" s="81" t="s">
        <v>171</v>
      </c>
      <c r="P82" s="81" t="s">
        <v>172</v>
      </c>
      <c r="Q82" s="81">
        <v>44632</v>
      </c>
      <c r="R82" s="81" t="s">
        <v>510</v>
      </c>
      <c r="S82" s="81"/>
      <c r="T82" s="81" t="s">
        <v>511</v>
      </c>
      <c r="U82" s="81"/>
      <c r="V82" s="81"/>
      <c r="W82" s="81">
        <v>90</v>
      </c>
      <c r="X82" s="81">
        <v>978.7</v>
      </c>
      <c r="Y82" s="81">
        <v>389.7</v>
      </c>
      <c r="Z82" s="81">
        <v>975.18</v>
      </c>
      <c r="AA82" s="81" t="s">
        <v>512</v>
      </c>
      <c r="AB82" s="81" t="s">
        <v>174</v>
      </c>
      <c r="AC82" s="81" t="s">
        <v>513</v>
      </c>
      <c r="AD82" s="81" t="s">
        <v>514</v>
      </c>
      <c r="AE82" s="81" t="s">
        <v>515</v>
      </c>
      <c r="AF82" s="81" t="s">
        <v>182</v>
      </c>
      <c r="AG82" s="81" t="s">
        <v>516</v>
      </c>
      <c r="AH82" s="81" t="s">
        <v>181</v>
      </c>
      <c r="AI82" s="81" t="s">
        <v>182</v>
      </c>
      <c r="AJ82" s="81" t="s">
        <v>177</v>
      </c>
      <c r="AK82" s="81">
        <v>45003.125</v>
      </c>
      <c r="AL82" s="81" t="s">
        <v>233</v>
      </c>
      <c r="AM82" s="81" t="s">
        <v>179</v>
      </c>
      <c r="AN82" s="81">
        <v>0</v>
      </c>
      <c r="AO82" s="80">
        <f t="shared" si="1"/>
        <v>0</v>
      </c>
    </row>
    <row r="83" spans="1:41">
      <c r="A83" s="81" t="s">
        <v>6</v>
      </c>
      <c r="B83" s="81" t="s">
        <v>122</v>
      </c>
      <c r="C83" s="81" t="s">
        <v>168</v>
      </c>
      <c r="D83" s="81" t="s">
        <v>169</v>
      </c>
      <c r="E83" s="81" t="s">
        <v>235</v>
      </c>
      <c r="F83" s="81" t="s">
        <v>6</v>
      </c>
      <c r="G83" s="81" t="s">
        <v>63</v>
      </c>
      <c r="H83" s="81">
        <v>18</v>
      </c>
      <c r="I83" s="81">
        <v>43515</v>
      </c>
      <c r="J83" s="81"/>
      <c r="K83" s="81" t="s">
        <v>11</v>
      </c>
      <c r="L83" s="81">
        <v>4.33</v>
      </c>
      <c r="M83" s="81">
        <v>15</v>
      </c>
      <c r="N83" s="81" t="s">
        <v>55</v>
      </c>
      <c r="O83" s="81" t="s">
        <v>171</v>
      </c>
      <c r="P83" s="81" t="s">
        <v>172</v>
      </c>
      <c r="Q83" s="81">
        <v>44632</v>
      </c>
      <c r="R83" s="81" t="s">
        <v>510</v>
      </c>
      <c r="S83" s="81"/>
      <c r="T83" s="81" t="s">
        <v>511</v>
      </c>
      <c r="U83" s="81"/>
      <c r="V83" s="81"/>
      <c r="W83" s="81">
        <v>90</v>
      </c>
      <c r="X83" s="81">
        <v>978.7</v>
      </c>
      <c r="Y83" s="81">
        <v>389.7</v>
      </c>
      <c r="Z83" s="81">
        <v>975.18</v>
      </c>
      <c r="AA83" s="81" t="s">
        <v>512</v>
      </c>
      <c r="AB83" s="81" t="s">
        <v>174</v>
      </c>
      <c r="AC83" s="81" t="s">
        <v>513</v>
      </c>
      <c r="AD83" s="81" t="s">
        <v>514</v>
      </c>
      <c r="AE83" s="81" t="s">
        <v>515</v>
      </c>
      <c r="AF83" s="81" t="s">
        <v>182</v>
      </c>
      <c r="AG83" s="81" t="s">
        <v>516</v>
      </c>
      <c r="AH83" s="81" t="s">
        <v>181</v>
      </c>
      <c r="AI83" s="81" t="s">
        <v>182</v>
      </c>
      <c r="AJ83" s="81" t="s">
        <v>177</v>
      </c>
      <c r="AK83" s="81">
        <v>45003.125</v>
      </c>
      <c r="AL83" s="81" t="s">
        <v>233</v>
      </c>
      <c r="AM83" s="81" t="s">
        <v>179</v>
      </c>
      <c r="AN83" s="81">
        <v>0</v>
      </c>
      <c r="AO83" s="80">
        <f t="shared" si="1"/>
        <v>0</v>
      </c>
    </row>
    <row r="84" spans="1:41">
      <c r="A84" s="81" t="s">
        <v>6</v>
      </c>
      <c r="B84" s="81" t="s">
        <v>122</v>
      </c>
      <c r="C84" s="81" t="s">
        <v>168</v>
      </c>
      <c r="D84" s="81" t="s">
        <v>169</v>
      </c>
      <c r="E84" s="81" t="s">
        <v>235</v>
      </c>
      <c r="F84" s="81" t="s">
        <v>6</v>
      </c>
      <c r="G84" s="81" t="s">
        <v>63</v>
      </c>
      <c r="H84" s="81">
        <v>18</v>
      </c>
      <c r="I84" s="81">
        <v>43515</v>
      </c>
      <c r="J84" s="81"/>
      <c r="K84" s="81" t="s">
        <v>11</v>
      </c>
      <c r="L84" s="81">
        <v>4.33</v>
      </c>
      <c r="M84" s="81">
        <v>15</v>
      </c>
      <c r="N84" s="81" t="s">
        <v>55</v>
      </c>
      <c r="O84" s="81" t="s">
        <v>171</v>
      </c>
      <c r="P84" s="81" t="s">
        <v>172</v>
      </c>
      <c r="Q84" s="81">
        <v>44632</v>
      </c>
      <c r="R84" s="81" t="s">
        <v>510</v>
      </c>
      <c r="S84" s="81"/>
      <c r="T84" s="81" t="s">
        <v>511</v>
      </c>
      <c r="U84" s="81"/>
      <c r="V84" s="81"/>
      <c r="W84" s="81">
        <v>90</v>
      </c>
      <c r="X84" s="81">
        <v>981.41</v>
      </c>
      <c r="Y84" s="81">
        <v>389.7</v>
      </c>
      <c r="Z84" s="81">
        <v>975.18</v>
      </c>
      <c r="AA84" s="81" t="s">
        <v>512</v>
      </c>
      <c r="AB84" s="81" t="s">
        <v>174</v>
      </c>
      <c r="AC84" s="81" t="s">
        <v>513</v>
      </c>
      <c r="AD84" s="81" t="s">
        <v>514</v>
      </c>
      <c r="AE84" s="81" t="s">
        <v>515</v>
      </c>
      <c r="AF84" s="81" t="s">
        <v>182</v>
      </c>
      <c r="AG84" s="81" t="s">
        <v>516</v>
      </c>
      <c r="AH84" s="81" t="s">
        <v>181</v>
      </c>
      <c r="AI84" s="81" t="s">
        <v>182</v>
      </c>
      <c r="AJ84" s="81" t="s">
        <v>177</v>
      </c>
      <c r="AK84" s="81">
        <v>45003.125</v>
      </c>
      <c r="AL84" s="81" t="s">
        <v>233</v>
      </c>
      <c r="AM84" s="81" t="s">
        <v>179</v>
      </c>
      <c r="AN84" s="81">
        <v>0</v>
      </c>
      <c r="AO84" s="80">
        <f t="shared" si="1"/>
        <v>0</v>
      </c>
    </row>
    <row r="85" spans="1:41">
      <c r="A85" s="81" t="s">
        <v>6</v>
      </c>
      <c r="B85" s="81" t="s">
        <v>122</v>
      </c>
      <c r="C85" s="81" t="s">
        <v>168</v>
      </c>
      <c r="D85" s="81" t="s">
        <v>169</v>
      </c>
      <c r="E85" s="81" t="s">
        <v>235</v>
      </c>
      <c r="F85" s="81" t="s">
        <v>6</v>
      </c>
      <c r="G85" s="81" t="s">
        <v>63</v>
      </c>
      <c r="H85" s="81">
        <v>18</v>
      </c>
      <c r="I85" s="81">
        <v>43515</v>
      </c>
      <c r="J85" s="81"/>
      <c r="K85" s="81" t="s">
        <v>11</v>
      </c>
      <c r="L85" s="81">
        <v>4.33</v>
      </c>
      <c r="M85" s="81">
        <v>15</v>
      </c>
      <c r="N85" s="81" t="s">
        <v>55</v>
      </c>
      <c r="O85" s="81" t="s">
        <v>171</v>
      </c>
      <c r="P85" s="81" t="s">
        <v>172</v>
      </c>
      <c r="Q85" s="81">
        <v>44632</v>
      </c>
      <c r="R85" s="81" t="s">
        <v>510</v>
      </c>
      <c r="S85" s="81"/>
      <c r="T85" s="81" t="s">
        <v>511</v>
      </c>
      <c r="U85" s="81"/>
      <c r="V85" s="81"/>
      <c r="W85" s="81">
        <v>90</v>
      </c>
      <c r="X85" s="81">
        <v>981.41</v>
      </c>
      <c r="Y85" s="81">
        <v>389.7</v>
      </c>
      <c r="Z85" s="81">
        <v>975.18</v>
      </c>
      <c r="AA85" s="81" t="s">
        <v>512</v>
      </c>
      <c r="AB85" s="81" t="s">
        <v>174</v>
      </c>
      <c r="AC85" s="81" t="s">
        <v>513</v>
      </c>
      <c r="AD85" s="81" t="s">
        <v>514</v>
      </c>
      <c r="AE85" s="81" t="s">
        <v>515</v>
      </c>
      <c r="AF85" s="81" t="s">
        <v>182</v>
      </c>
      <c r="AG85" s="81" t="s">
        <v>516</v>
      </c>
      <c r="AH85" s="81" t="s">
        <v>181</v>
      </c>
      <c r="AI85" s="81" t="s">
        <v>182</v>
      </c>
      <c r="AJ85" s="81" t="s">
        <v>177</v>
      </c>
      <c r="AK85" s="81">
        <v>45003.125</v>
      </c>
      <c r="AL85" s="81" t="s">
        <v>233</v>
      </c>
      <c r="AM85" s="81" t="s">
        <v>179</v>
      </c>
      <c r="AN85" s="81">
        <v>0</v>
      </c>
      <c r="AO85" s="80">
        <f t="shared" si="1"/>
        <v>0</v>
      </c>
    </row>
    <row r="86" spans="1:41">
      <c r="A86" s="81" t="s">
        <v>6</v>
      </c>
      <c r="B86" s="81" t="s">
        <v>122</v>
      </c>
      <c r="C86" s="81" t="s">
        <v>168</v>
      </c>
      <c r="D86" s="81" t="s">
        <v>169</v>
      </c>
      <c r="E86" s="81" t="s">
        <v>235</v>
      </c>
      <c r="F86" s="81" t="s">
        <v>6</v>
      </c>
      <c r="G86" s="81" t="s">
        <v>63</v>
      </c>
      <c r="H86" s="81">
        <v>18</v>
      </c>
      <c r="I86" s="81">
        <v>43515</v>
      </c>
      <c r="J86" s="81"/>
      <c r="K86" s="81" t="s">
        <v>11</v>
      </c>
      <c r="L86" s="81">
        <v>4.33</v>
      </c>
      <c r="M86" s="81">
        <v>15</v>
      </c>
      <c r="N86" s="81" t="s">
        <v>55</v>
      </c>
      <c r="O86" s="81" t="s">
        <v>171</v>
      </c>
      <c r="P86" s="81" t="s">
        <v>172</v>
      </c>
      <c r="Q86" s="81">
        <v>44632</v>
      </c>
      <c r="R86" s="81" t="s">
        <v>517</v>
      </c>
      <c r="S86" s="81"/>
      <c r="T86" s="81" t="s">
        <v>511</v>
      </c>
      <c r="U86" s="81"/>
      <c r="V86" s="81"/>
      <c r="W86" s="81">
        <v>90</v>
      </c>
      <c r="X86" s="81">
        <v>901.69</v>
      </c>
      <c r="Y86" s="81">
        <v>389.7</v>
      </c>
      <c r="Z86" s="81">
        <v>975.18</v>
      </c>
      <c r="AA86" s="81" t="s">
        <v>512</v>
      </c>
      <c r="AB86" s="81" t="s">
        <v>174</v>
      </c>
      <c r="AC86" s="81" t="s">
        <v>513</v>
      </c>
      <c r="AD86" s="81" t="s">
        <v>514</v>
      </c>
      <c r="AE86" s="81" t="s">
        <v>515</v>
      </c>
      <c r="AF86" s="81" t="s">
        <v>182</v>
      </c>
      <c r="AG86" s="81" t="s">
        <v>516</v>
      </c>
      <c r="AH86" s="81" t="s">
        <v>181</v>
      </c>
      <c r="AI86" s="81" t="s">
        <v>182</v>
      </c>
      <c r="AJ86" s="81" t="s">
        <v>177</v>
      </c>
      <c r="AK86" s="81">
        <v>45003.125</v>
      </c>
      <c r="AL86" s="81" t="s">
        <v>233</v>
      </c>
      <c r="AM86" s="81" t="s">
        <v>179</v>
      </c>
      <c r="AN86" s="81">
        <v>0</v>
      </c>
      <c r="AO86" s="80">
        <f t="shared" si="1"/>
        <v>0</v>
      </c>
    </row>
    <row r="87" spans="1:41">
      <c r="A87" s="81" t="s">
        <v>6</v>
      </c>
      <c r="B87" s="81" t="s">
        <v>122</v>
      </c>
      <c r="C87" s="81" t="s">
        <v>168</v>
      </c>
      <c r="D87" s="81" t="s">
        <v>169</v>
      </c>
      <c r="E87" s="81" t="s">
        <v>235</v>
      </c>
      <c r="F87" s="81" t="s">
        <v>6</v>
      </c>
      <c r="G87" s="81" t="s">
        <v>63</v>
      </c>
      <c r="H87" s="81">
        <v>18</v>
      </c>
      <c r="I87" s="81">
        <v>43515</v>
      </c>
      <c r="J87" s="81"/>
      <c r="K87" s="81" t="s">
        <v>11</v>
      </c>
      <c r="L87" s="81">
        <v>4.33</v>
      </c>
      <c r="M87" s="81">
        <v>15</v>
      </c>
      <c r="N87" s="81" t="s">
        <v>55</v>
      </c>
      <c r="O87" s="81" t="s">
        <v>171</v>
      </c>
      <c r="P87" s="81" t="s">
        <v>172</v>
      </c>
      <c r="Q87" s="81">
        <v>44632</v>
      </c>
      <c r="R87" s="81" t="s">
        <v>517</v>
      </c>
      <c r="S87" s="81"/>
      <c r="T87" s="81" t="s">
        <v>511</v>
      </c>
      <c r="U87" s="81"/>
      <c r="V87" s="81"/>
      <c r="W87" s="81">
        <v>90</v>
      </c>
      <c r="X87" s="81">
        <v>901.69</v>
      </c>
      <c r="Y87" s="81">
        <v>389.7</v>
      </c>
      <c r="Z87" s="81">
        <v>975.18</v>
      </c>
      <c r="AA87" s="81" t="s">
        <v>512</v>
      </c>
      <c r="AB87" s="81" t="s">
        <v>174</v>
      </c>
      <c r="AC87" s="81" t="s">
        <v>513</v>
      </c>
      <c r="AD87" s="81" t="s">
        <v>514</v>
      </c>
      <c r="AE87" s="81" t="s">
        <v>515</v>
      </c>
      <c r="AF87" s="81" t="s">
        <v>182</v>
      </c>
      <c r="AG87" s="81" t="s">
        <v>516</v>
      </c>
      <c r="AH87" s="81" t="s">
        <v>181</v>
      </c>
      <c r="AI87" s="81" t="s">
        <v>182</v>
      </c>
      <c r="AJ87" s="81" t="s">
        <v>177</v>
      </c>
      <c r="AK87" s="81">
        <v>45003.125</v>
      </c>
      <c r="AL87" s="81" t="s">
        <v>233</v>
      </c>
      <c r="AM87" s="81" t="s">
        <v>179</v>
      </c>
      <c r="AN87" s="81">
        <v>0</v>
      </c>
      <c r="AO87" s="80">
        <f t="shared" si="1"/>
        <v>0</v>
      </c>
    </row>
    <row r="88" spans="1:41">
      <c r="A88" s="81" t="s">
        <v>66</v>
      </c>
      <c r="B88" s="81" t="s">
        <v>124</v>
      </c>
      <c r="C88" s="81" t="s">
        <v>168</v>
      </c>
      <c r="D88" s="81" t="s">
        <v>169</v>
      </c>
      <c r="E88" s="81" t="s">
        <v>228</v>
      </c>
      <c r="F88" s="81" t="s">
        <v>229</v>
      </c>
      <c r="G88" s="81" t="s">
        <v>9</v>
      </c>
      <c r="H88" s="81">
        <v>20</v>
      </c>
      <c r="I88" s="81">
        <v>43515</v>
      </c>
      <c r="J88" s="81"/>
      <c r="K88" s="81" t="s">
        <v>67</v>
      </c>
      <c r="L88" s="81">
        <v>38</v>
      </c>
      <c r="M88" s="81">
        <v>150</v>
      </c>
      <c r="N88" s="81" t="s">
        <v>59</v>
      </c>
      <c r="O88" s="81" t="s">
        <v>171</v>
      </c>
      <c r="P88" s="81" t="s">
        <v>518</v>
      </c>
      <c r="Q88" s="81">
        <v>44854</v>
      </c>
      <c r="R88" s="81" t="s">
        <v>519</v>
      </c>
      <c r="S88" s="81">
        <v>97</v>
      </c>
      <c r="T88" s="81" t="s">
        <v>173</v>
      </c>
      <c r="U88" s="81"/>
      <c r="V88" s="81"/>
      <c r="W88" s="81">
        <v>6</v>
      </c>
      <c r="X88" s="81">
        <v>4053</v>
      </c>
      <c r="Y88" s="81">
        <v>228</v>
      </c>
      <c r="Z88" s="81">
        <v>900</v>
      </c>
      <c r="AA88" s="81" t="s">
        <v>520</v>
      </c>
      <c r="AB88" s="81" t="s">
        <v>174</v>
      </c>
      <c r="AC88" s="81" t="s">
        <v>521</v>
      </c>
      <c r="AD88" s="81" t="s">
        <v>522</v>
      </c>
      <c r="AE88" s="81" t="s">
        <v>523</v>
      </c>
      <c r="AF88" s="81" t="s">
        <v>175</v>
      </c>
      <c r="AG88" s="81" t="s">
        <v>524</v>
      </c>
      <c r="AH88" s="81" t="s">
        <v>175</v>
      </c>
      <c r="AI88" s="81" t="s">
        <v>175</v>
      </c>
      <c r="AJ88" s="81" t="s">
        <v>177</v>
      </c>
      <c r="AK88" s="81">
        <v>45063.125</v>
      </c>
      <c r="AL88" s="81" t="s">
        <v>178</v>
      </c>
      <c r="AM88" s="81" t="s">
        <v>179</v>
      </c>
      <c r="AN88" s="81">
        <v>0</v>
      </c>
      <c r="AO88" s="80">
        <f t="shared" si="1"/>
        <v>0</v>
      </c>
    </row>
    <row r="89" spans="1:41">
      <c r="A89" s="81" t="s">
        <v>66</v>
      </c>
      <c r="B89" s="81" t="s">
        <v>124</v>
      </c>
      <c r="C89" s="81" t="s">
        <v>168</v>
      </c>
      <c r="D89" s="81" t="s">
        <v>169</v>
      </c>
      <c r="E89" s="81" t="s">
        <v>228</v>
      </c>
      <c r="F89" s="81" t="s">
        <v>229</v>
      </c>
      <c r="G89" s="81" t="s">
        <v>9</v>
      </c>
      <c r="H89" s="81">
        <v>20</v>
      </c>
      <c r="I89" s="81">
        <v>43515</v>
      </c>
      <c r="J89" s="81"/>
      <c r="K89" s="81" t="s">
        <v>67</v>
      </c>
      <c r="L89" s="81">
        <v>38</v>
      </c>
      <c r="M89" s="81">
        <v>150</v>
      </c>
      <c r="N89" s="81" t="s">
        <v>59</v>
      </c>
      <c r="O89" s="81" t="s">
        <v>171</v>
      </c>
      <c r="P89" s="81" t="s">
        <v>525</v>
      </c>
      <c r="Q89" s="81">
        <v>44981</v>
      </c>
      <c r="R89" s="81" t="s">
        <v>526</v>
      </c>
      <c r="S89" s="81">
        <v>96</v>
      </c>
      <c r="T89" s="81" t="s">
        <v>287</v>
      </c>
      <c r="U89" s="81"/>
      <c r="V89" s="81"/>
      <c r="W89" s="81">
        <v>6</v>
      </c>
      <c r="X89" s="81">
        <v>2295</v>
      </c>
      <c r="Y89" s="81">
        <v>228</v>
      </c>
      <c r="Z89" s="81">
        <v>900</v>
      </c>
      <c r="AA89" s="81" t="s">
        <v>527</v>
      </c>
      <c r="AB89" s="81" t="s">
        <v>202</v>
      </c>
      <c r="AC89" s="81" t="s">
        <v>528</v>
      </c>
      <c r="AD89" s="81" t="s">
        <v>529</v>
      </c>
      <c r="AE89" s="81" t="s">
        <v>530</v>
      </c>
      <c r="AF89" s="81" t="s">
        <v>206</v>
      </c>
      <c r="AG89" s="81" t="s">
        <v>531</v>
      </c>
      <c r="AH89" s="81" t="s">
        <v>206</v>
      </c>
      <c r="AI89" s="81" t="s">
        <v>206</v>
      </c>
      <c r="AJ89" s="81" t="s">
        <v>177</v>
      </c>
      <c r="AK89" s="81">
        <v>45057.125</v>
      </c>
      <c r="AL89" s="81" t="s">
        <v>233</v>
      </c>
      <c r="AM89" s="81" t="s">
        <v>179</v>
      </c>
      <c r="AN89" s="81">
        <v>0</v>
      </c>
      <c r="AO89" s="80">
        <f t="shared" si="1"/>
        <v>0</v>
      </c>
    </row>
    <row r="90" spans="1:41">
      <c r="A90" s="81" t="s">
        <v>66</v>
      </c>
      <c r="B90" s="81" t="s">
        <v>124</v>
      </c>
      <c r="C90" s="81" t="s">
        <v>168</v>
      </c>
      <c r="D90" s="81" t="s">
        <v>169</v>
      </c>
      <c r="E90" s="81" t="s">
        <v>228</v>
      </c>
      <c r="F90" s="81" t="s">
        <v>229</v>
      </c>
      <c r="G90" s="81" t="s">
        <v>9</v>
      </c>
      <c r="H90" s="81">
        <v>20</v>
      </c>
      <c r="I90" s="81">
        <v>43515</v>
      </c>
      <c r="J90" s="81"/>
      <c r="K90" s="81" t="s">
        <v>67</v>
      </c>
      <c r="L90" s="81">
        <v>38</v>
      </c>
      <c r="M90" s="81">
        <v>150</v>
      </c>
      <c r="N90" s="81" t="s">
        <v>59</v>
      </c>
      <c r="O90" s="81" t="s">
        <v>171</v>
      </c>
      <c r="P90" s="81" t="s">
        <v>365</v>
      </c>
      <c r="Q90" s="81">
        <v>44925</v>
      </c>
      <c r="R90" s="81" t="s">
        <v>532</v>
      </c>
      <c r="S90" s="81">
        <v>96</v>
      </c>
      <c r="T90" s="81" t="s">
        <v>173</v>
      </c>
      <c r="U90" s="81"/>
      <c r="V90" s="81"/>
      <c r="W90" s="81">
        <v>6</v>
      </c>
      <c r="X90" s="81">
        <v>1900</v>
      </c>
      <c r="Y90" s="81">
        <v>228</v>
      </c>
      <c r="Z90" s="81">
        <v>900</v>
      </c>
      <c r="AA90" s="81" t="s">
        <v>443</v>
      </c>
      <c r="AB90" s="81" t="s">
        <v>174</v>
      </c>
      <c r="AC90" s="81" t="s">
        <v>444</v>
      </c>
      <c r="AD90" s="81" t="s">
        <v>445</v>
      </c>
      <c r="AE90" s="81" t="s">
        <v>446</v>
      </c>
      <c r="AF90" s="81" t="s">
        <v>216</v>
      </c>
      <c r="AG90" s="81" t="s">
        <v>218</v>
      </c>
      <c r="AH90" s="81" t="s">
        <v>217</v>
      </c>
      <c r="AI90" s="81" t="s">
        <v>182</v>
      </c>
      <c r="AJ90" s="81" t="s">
        <v>177</v>
      </c>
      <c r="AK90" s="81">
        <v>45044.125</v>
      </c>
      <c r="AL90" s="81" t="s">
        <v>178</v>
      </c>
      <c r="AM90" s="81" t="s">
        <v>179</v>
      </c>
      <c r="AN90" s="81">
        <v>0</v>
      </c>
      <c r="AO90" s="80">
        <f t="shared" si="1"/>
        <v>0</v>
      </c>
    </row>
    <row r="91" spans="1:41">
      <c r="A91" s="81" t="s">
        <v>66</v>
      </c>
      <c r="B91" s="81" t="s">
        <v>124</v>
      </c>
      <c r="C91" s="81" t="s">
        <v>168</v>
      </c>
      <c r="D91" s="81" t="s">
        <v>169</v>
      </c>
      <c r="E91" s="81" t="s">
        <v>228</v>
      </c>
      <c r="F91" s="81" t="s">
        <v>229</v>
      </c>
      <c r="G91" s="81" t="s">
        <v>9</v>
      </c>
      <c r="H91" s="81">
        <v>20</v>
      </c>
      <c r="I91" s="81">
        <v>43515</v>
      </c>
      <c r="J91" s="81"/>
      <c r="K91" s="81" t="s">
        <v>67</v>
      </c>
      <c r="L91" s="81">
        <v>38</v>
      </c>
      <c r="M91" s="81">
        <v>150</v>
      </c>
      <c r="N91" s="81" t="s">
        <v>59</v>
      </c>
      <c r="O91" s="81" t="s">
        <v>171</v>
      </c>
      <c r="P91" s="81" t="s">
        <v>365</v>
      </c>
      <c r="Q91" s="81">
        <v>44925</v>
      </c>
      <c r="R91" s="81" t="s">
        <v>532</v>
      </c>
      <c r="S91" s="81">
        <v>96</v>
      </c>
      <c r="T91" s="81" t="s">
        <v>173</v>
      </c>
      <c r="U91" s="81"/>
      <c r="V91" s="81"/>
      <c r="W91" s="81">
        <v>6</v>
      </c>
      <c r="X91" s="81">
        <v>1900</v>
      </c>
      <c r="Y91" s="81">
        <v>228</v>
      </c>
      <c r="Z91" s="81">
        <v>900</v>
      </c>
      <c r="AA91" s="81" t="s">
        <v>443</v>
      </c>
      <c r="AB91" s="81" t="s">
        <v>174</v>
      </c>
      <c r="AC91" s="81" t="s">
        <v>444</v>
      </c>
      <c r="AD91" s="81" t="s">
        <v>445</v>
      </c>
      <c r="AE91" s="81" t="s">
        <v>446</v>
      </c>
      <c r="AF91" s="81" t="s">
        <v>216</v>
      </c>
      <c r="AG91" s="81" t="s">
        <v>218</v>
      </c>
      <c r="AH91" s="81" t="s">
        <v>217</v>
      </c>
      <c r="AI91" s="81" t="s">
        <v>182</v>
      </c>
      <c r="AJ91" s="81" t="s">
        <v>177</v>
      </c>
      <c r="AK91" s="81">
        <v>45044.125</v>
      </c>
      <c r="AL91" s="81" t="s">
        <v>178</v>
      </c>
      <c r="AM91" s="81" t="s">
        <v>179</v>
      </c>
      <c r="AN91" s="81">
        <v>0</v>
      </c>
      <c r="AO91" s="80">
        <f t="shared" si="1"/>
        <v>0</v>
      </c>
    </row>
    <row r="92" spans="1:41">
      <c r="A92" s="81" t="s">
        <v>66</v>
      </c>
      <c r="B92" s="81" t="s">
        <v>124</v>
      </c>
      <c r="C92" s="81" t="s">
        <v>168</v>
      </c>
      <c r="D92" s="81" t="s">
        <v>169</v>
      </c>
      <c r="E92" s="81" t="s">
        <v>228</v>
      </c>
      <c r="F92" s="81" t="s">
        <v>229</v>
      </c>
      <c r="G92" s="81" t="s">
        <v>9</v>
      </c>
      <c r="H92" s="81">
        <v>20</v>
      </c>
      <c r="I92" s="81">
        <v>43515</v>
      </c>
      <c r="J92" s="81"/>
      <c r="K92" s="81" t="s">
        <v>67</v>
      </c>
      <c r="L92" s="81">
        <v>38</v>
      </c>
      <c r="M92" s="81">
        <v>150</v>
      </c>
      <c r="N92" s="81" t="s">
        <v>59</v>
      </c>
      <c r="O92" s="81" t="s">
        <v>171</v>
      </c>
      <c r="P92" s="81" t="s">
        <v>172</v>
      </c>
      <c r="Q92" s="81">
        <v>44977</v>
      </c>
      <c r="R92" s="81" t="s">
        <v>284</v>
      </c>
      <c r="S92" s="81">
        <v>93</v>
      </c>
      <c r="T92" s="81" t="s">
        <v>173</v>
      </c>
      <c r="U92" s="81"/>
      <c r="V92" s="81"/>
      <c r="W92" s="81">
        <v>4.7</v>
      </c>
      <c r="X92" s="81">
        <v>1642.37</v>
      </c>
      <c r="Y92" s="81">
        <v>178.6</v>
      </c>
      <c r="Z92" s="81">
        <v>705</v>
      </c>
      <c r="AA92" s="81" t="s">
        <v>533</v>
      </c>
      <c r="AB92" s="81" t="s">
        <v>188</v>
      </c>
      <c r="AC92" s="81" t="s">
        <v>534</v>
      </c>
      <c r="AD92" s="81" t="s">
        <v>535</v>
      </c>
      <c r="AE92" s="81" t="s">
        <v>536</v>
      </c>
      <c r="AF92" s="81" t="s">
        <v>192</v>
      </c>
      <c r="AG92" s="81" t="s">
        <v>537</v>
      </c>
      <c r="AH92" s="81" t="s">
        <v>191</v>
      </c>
      <c r="AI92" s="81" t="s">
        <v>192</v>
      </c>
      <c r="AJ92" s="81" t="s">
        <v>186</v>
      </c>
      <c r="AK92" s="81">
        <v>45048.125</v>
      </c>
      <c r="AL92" s="81" t="s">
        <v>178</v>
      </c>
      <c r="AM92" s="81" t="s">
        <v>179</v>
      </c>
      <c r="AN92" s="81">
        <v>0</v>
      </c>
      <c r="AO92" s="80">
        <f t="shared" si="1"/>
        <v>0</v>
      </c>
    </row>
    <row r="93" spans="1:41">
      <c r="A93" s="81" t="s">
        <v>66</v>
      </c>
      <c r="B93" s="81" t="s">
        <v>124</v>
      </c>
      <c r="C93" s="81" t="s">
        <v>168</v>
      </c>
      <c r="D93" s="81" t="s">
        <v>169</v>
      </c>
      <c r="E93" s="81" t="s">
        <v>228</v>
      </c>
      <c r="F93" s="81" t="s">
        <v>229</v>
      </c>
      <c r="G93" s="81" t="s">
        <v>9</v>
      </c>
      <c r="H93" s="81">
        <v>20</v>
      </c>
      <c r="I93" s="81">
        <v>43515</v>
      </c>
      <c r="J93" s="81"/>
      <c r="K93" s="81" t="s">
        <v>67</v>
      </c>
      <c r="L93" s="81">
        <v>38</v>
      </c>
      <c r="M93" s="81">
        <v>150</v>
      </c>
      <c r="N93" s="81" t="s">
        <v>59</v>
      </c>
      <c r="O93" s="81" t="s">
        <v>171</v>
      </c>
      <c r="P93" s="81" t="s">
        <v>277</v>
      </c>
      <c r="Q93" s="81">
        <v>44928</v>
      </c>
      <c r="R93" s="81" t="s">
        <v>538</v>
      </c>
      <c r="S93" s="81">
        <v>95</v>
      </c>
      <c r="T93" s="81" t="s">
        <v>173</v>
      </c>
      <c r="U93" s="81"/>
      <c r="V93" s="81"/>
      <c r="W93" s="81">
        <v>6</v>
      </c>
      <c r="X93" s="81">
        <v>5941</v>
      </c>
      <c r="Y93" s="81">
        <v>228</v>
      </c>
      <c r="Z93" s="81">
        <v>900</v>
      </c>
      <c r="AA93" s="81" t="s">
        <v>539</v>
      </c>
      <c r="AB93" s="81" t="s">
        <v>188</v>
      </c>
      <c r="AC93" s="81" t="s">
        <v>540</v>
      </c>
      <c r="AD93" s="81" t="s">
        <v>541</v>
      </c>
      <c r="AE93" s="81" t="s">
        <v>542</v>
      </c>
      <c r="AF93" s="81" t="s">
        <v>193</v>
      </c>
      <c r="AG93" s="81" t="s">
        <v>543</v>
      </c>
      <c r="AH93" s="81" t="s">
        <v>195</v>
      </c>
      <c r="AI93" s="81" t="s">
        <v>192</v>
      </c>
      <c r="AJ93" s="81" t="s">
        <v>186</v>
      </c>
      <c r="AK93" s="81">
        <v>45048.125</v>
      </c>
      <c r="AL93" s="81" t="s">
        <v>178</v>
      </c>
      <c r="AM93" s="81" t="s">
        <v>179</v>
      </c>
      <c r="AN93" s="81">
        <v>0</v>
      </c>
      <c r="AO93" s="80">
        <f t="shared" si="1"/>
        <v>0</v>
      </c>
    </row>
    <row r="94" spans="1:41">
      <c r="A94" s="81" t="s">
        <v>66</v>
      </c>
      <c r="B94" s="81" t="s">
        <v>124</v>
      </c>
      <c r="C94" s="81" t="s">
        <v>168</v>
      </c>
      <c r="D94" s="81" t="s">
        <v>169</v>
      </c>
      <c r="E94" s="81" t="s">
        <v>228</v>
      </c>
      <c r="F94" s="81" t="s">
        <v>229</v>
      </c>
      <c r="G94" s="81" t="s">
        <v>9</v>
      </c>
      <c r="H94" s="81">
        <v>20</v>
      </c>
      <c r="I94" s="81">
        <v>43515</v>
      </c>
      <c r="J94" s="81"/>
      <c r="K94" s="81" t="s">
        <v>67</v>
      </c>
      <c r="L94" s="81">
        <v>38</v>
      </c>
      <c r="M94" s="81">
        <v>150</v>
      </c>
      <c r="N94" s="81" t="s">
        <v>59</v>
      </c>
      <c r="O94" s="81" t="s">
        <v>171</v>
      </c>
      <c r="P94" s="81" t="s">
        <v>277</v>
      </c>
      <c r="Q94" s="81">
        <v>44928</v>
      </c>
      <c r="R94" s="81" t="s">
        <v>538</v>
      </c>
      <c r="S94" s="81">
        <v>95</v>
      </c>
      <c r="T94" s="81" t="s">
        <v>173</v>
      </c>
      <c r="U94" s="81"/>
      <c r="V94" s="81"/>
      <c r="W94" s="81">
        <v>6</v>
      </c>
      <c r="X94" s="81">
        <v>5941</v>
      </c>
      <c r="Y94" s="81">
        <v>228</v>
      </c>
      <c r="Z94" s="81">
        <v>900</v>
      </c>
      <c r="AA94" s="81" t="s">
        <v>539</v>
      </c>
      <c r="AB94" s="81" t="s">
        <v>188</v>
      </c>
      <c r="AC94" s="81" t="s">
        <v>540</v>
      </c>
      <c r="AD94" s="81" t="s">
        <v>541</v>
      </c>
      <c r="AE94" s="81" t="s">
        <v>542</v>
      </c>
      <c r="AF94" s="81" t="s">
        <v>193</v>
      </c>
      <c r="AG94" s="81" t="s">
        <v>543</v>
      </c>
      <c r="AH94" s="81" t="s">
        <v>195</v>
      </c>
      <c r="AI94" s="81" t="s">
        <v>192</v>
      </c>
      <c r="AJ94" s="81" t="s">
        <v>186</v>
      </c>
      <c r="AK94" s="81">
        <v>45048.125</v>
      </c>
      <c r="AL94" s="81" t="s">
        <v>178</v>
      </c>
      <c r="AM94" s="81" t="s">
        <v>179</v>
      </c>
      <c r="AN94" s="81">
        <v>0</v>
      </c>
      <c r="AO94" s="80">
        <f t="shared" si="1"/>
        <v>0</v>
      </c>
    </row>
    <row r="95" spans="1:41">
      <c r="A95" s="81" t="s">
        <v>66</v>
      </c>
      <c r="B95" s="81" t="s">
        <v>124</v>
      </c>
      <c r="C95" s="81" t="s">
        <v>168</v>
      </c>
      <c r="D95" s="81" t="s">
        <v>169</v>
      </c>
      <c r="E95" s="81" t="s">
        <v>228</v>
      </c>
      <c r="F95" s="81" t="s">
        <v>229</v>
      </c>
      <c r="G95" s="81" t="s">
        <v>9</v>
      </c>
      <c r="H95" s="81">
        <v>20</v>
      </c>
      <c r="I95" s="81">
        <v>43515</v>
      </c>
      <c r="J95" s="81"/>
      <c r="K95" s="81" t="s">
        <v>67</v>
      </c>
      <c r="L95" s="81">
        <v>38</v>
      </c>
      <c r="M95" s="81">
        <v>150</v>
      </c>
      <c r="N95" s="81" t="s">
        <v>59</v>
      </c>
      <c r="O95" s="81" t="s">
        <v>171</v>
      </c>
      <c r="P95" s="81" t="s">
        <v>277</v>
      </c>
      <c r="Q95" s="81">
        <v>44928</v>
      </c>
      <c r="R95" s="81" t="s">
        <v>538</v>
      </c>
      <c r="S95" s="81">
        <v>95</v>
      </c>
      <c r="T95" s="81" t="s">
        <v>173</v>
      </c>
      <c r="U95" s="81"/>
      <c r="V95" s="81"/>
      <c r="W95" s="81">
        <v>6</v>
      </c>
      <c r="X95" s="81">
        <v>5941</v>
      </c>
      <c r="Y95" s="81">
        <v>228</v>
      </c>
      <c r="Z95" s="81">
        <v>900</v>
      </c>
      <c r="AA95" s="81" t="s">
        <v>539</v>
      </c>
      <c r="AB95" s="81" t="s">
        <v>188</v>
      </c>
      <c r="AC95" s="81" t="s">
        <v>540</v>
      </c>
      <c r="AD95" s="81" t="s">
        <v>541</v>
      </c>
      <c r="AE95" s="81" t="s">
        <v>542</v>
      </c>
      <c r="AF95" s="81" t="s">
        <v>193</v>
      </c>
      <c r="AG95" s="81" t="s">
        <v>543</v>
      </c>
      <c r="AH95" s="81" t="s">
        <v>195</v>
      </c>
      <c r="AI95" s="81" t="s">
        <v>192</v>
      </c>
      <c r="AJ95" s="81" t="s">
        <v>186</v>
      </c>
      <c r="AK95" s="81">
        <v>45048.125</v>
      </c>
      <c r="AL95" s="81" t="s">
        <v>178</v>
      </c>
      <c r="AM95" s="81" t="s">
        <v>179</v>
      </c>
      <c r="AN95" s="81">
        <v>0</v>
      </c>
      <c r="AO95" s="80">
        <f t="shared" si="1"/>
        <v>0</v>
      </c>
    </row>
    <row r="96" spans="1:41">
      <c r="A96" s="81" t="s">
        <v>66</v>
      </c>
      <c r="B96" s="81" t="s">
        <v>124</v>
      </c>
      <c r="C96" s="81" t="s">
        <v>168</v>
      </c>
      <c r="D96" s="81" t="s">
        <v>169</v>
      </c>
      <c r="E96" s="81" t="s">
        <v>228</v>
      </c>
      <c r="F96" s="81" t="s">
        <v>229</v>
      </c>
      <c r="G96" s="81" t="s">
        <v>9</v>
      </c>
      <c r="H96" s="81">
        <v>20</v>
      </c>
      <c r="I96" s="81">
        <v>43515</v>
      </c>
      <c r="J96" s="81"/>
      <c r="K96" s="81" t="s">
        <v>67</v>
      </c>
      <c r="L96" s="81">
        <v>38</v>
      </c>
      <c r="M96" s="81">
        <v>150</v>
      </c>
      <c r="N96" s="81" t="s">
        <v>59</v>
      </c>
      <c r="O96" s="81" t="s">
        <v>171</v>
      </c>
      <c r="P96" s="81" t="s">
        <v>187</v>
      </c>
      <c r="Q96" s="81">
        <v>44868</v>
      </c>
      <c r="R96" s="81" t="s">
        <v>230</v>
      </c>
      <c r="S96" s="81">
        <v>97</v>
      </c>
      <c r="T96" s="81" t="s">
        <v>287</v>
      </c>
      <c r="U96" s="81"/>
      <c r="V96" s="81"/>
      <c r="W96" s="81">
        <v>11</v>
      </c>
      <c r="X96" s="81">
        <v>14840</v>
      </c>
      <c r="Y96" s="81">
        <v>418</v>
      </c>
      <c r="Z96" s="81">
        <v>1650</v>
      </c>
      <c r="AA96" s="81" t="s">
        <v>544</v>
      </c>
      <c r="AB96" s="81" t="s">
        <v>188</v>
      </c>
      <c r="AC96" s="81" t="s">
        <v>545</v>
      </c>
      <c r="AD96" s="81" t="s">
        <v>546</v>
      </c>
      <c r="AE96" s="81" t="s">
        <v>547</v>
      </c>
      <c r="AF96" s="81" t="s">
        <v>185</v>
      </c>
      <c r="AG96" s="81" t="s">
        <v>272</v>
      </c>
      <c r="AH96" s="81" t="s">
        <v>184</v>
      </c>
      <c r="AI96" s="81" t="s">
        <v>185</v>
      </c>
      <c r="AJ96" s="81" t="s">
        <v>186</v>
      </c>
      <c r="AK96" s="81">
        <v>45085.125</v>
      </c>
      <c r="AL96" s="81" t="s">
        <v>178</v>
      </c>
      <c r="AM96" s="81" t="s">
        <v>179</v>
      </c>
      <c r="AN96" s="81">
        <v>0</v>
      </c>
      <c r="AO96" s="80">
        <f t="shared" si="1"/>
        <v>0</v>
      </c>
    </row>
    <row r="97" spans="1:41">
      <c r="A97" s="81" t="s">
        <v>66</v>
      </c>
      <c r="B97" s="81" t="s">
        <v>124</v>
      </c>
      <c r="C97" s="81" t="s">
        <v>168</v>
      </c>
      <c r="D97" s="81" t="s">
        <v>169</v>
      </c>
      <c r="E97" s="81" t="s">
        <v>228</v>
      </c>
      <c r="F97" s="81" t="s">
        <v>229</v>
      </c>
      <c r="G97" s="81" t="s">
        <v>9</v>
      </c>
      <c r="H97" s="81">
        <v>20</v>
      </c>
      <c r="I97" s="81">
        <v>43515</v>
      </c>
      <c r="J97" s="81"/>
      <c r="K97" s="81" t="s">
        <v>67</v>
      </c>
      <c r="L97" s="81">
        <v>38</v>
      </c>
      <c r="M97" s="81">
        <v>150</v>
      </c>
      <c r="N97" s="81" t="s">
        <v>59</v>
      </c>
      <c r="O97" s="81" t="s">
        <v>171</v>
      </c>
      <c r="P97" s="81" t="s">
        <v>215</v>
      </c>
      <c r="Q97" s="81">
        <v>45033</v>
      </c>
      <c r="R97" s="81" t="s">
        <v>519</v>
      </c>
      <c r="S97" s="81">
        <v>96</v>
      </c>
      <c r="T97" s="81" t="s">
        <v>287</v>
      </c>
      <c r="U97" s="81"/>
      <c r="V97" s="81"/>
      <c r="W97" s="81">
        <v>6</v>
      </c>
      <c r="X97" s="81">
        <v>7604.65</v>
      </c>
      <c r="Y97" s="81">
        <v>228</v>
      </c>
      <c r="Z97" s="81">
        <v>900</v>
      </c>
      <c r="AA97" s="81" t="s">
        <v>548</v>
      </c>
      <c r="AB97" s="81" t="s">
        <v>174</v>
      </c>
      <c r="AC97" s="81" t="s">
        <v>549</v>
      </c>
      <c r="AD97" s="81" t="s">
        <v>548</v>
      </c>
      <c r="AE97" s="81" t="s">
        <v>550</v>
      </c>
      <c r="AF97" s="81" t="s">
        <v>182</v>
      </c>
      <c r="AG97" s="81" t="s">
        <v>551</v>
      </c>
      <c r="AH97" s="81" t="s">
        <v>181</v>
      </c>
      <c r="AI97" s="81" t="s">
        <v>182</v>
      </c>
      <c r="AJ97" s="81" t="s">
        <v>177</v>
      </c>
      <c r="AK97" s="81">
        <v>45119.25</v>
      </c>
      <c r="AL97" s="81" t="s">
        <v>178</v>
      </c>
      <c r="AM97" s="81" t="s">
        <v>179</v>
      </c>
      <c r="AN97" s="81">
        <v>0</v>
      </c>
      <c r="AO97" s="80">
        <f t="shared" si="1"/>
        <v>0</v>
      </c>
    </row>
    <row r="98" spans="1:41">
      <c r="A98" s="81" t="s">
        <v>66</v>
      </c>
      <c r="B98" s="81" t="s">
        <v>124</v>
      </c>
      <c r="C98" s="81" t="s">
        <v>168</v>
      </c>
      <c r="D98" s="81" t="s">
        <v>169</v>
      </c>
      <c r="E98" s="81" t="s">
        <v>228</v>
      </c>
      <c r="F98" s="81" t="s">
        <v>229</v>
      </c>
      <c r="G98" s="81" t="s">
        <v>9</v>
      </c>
      <c r="H98" s="81">
        <v>20</v>
      </c>
      <c r="I98" s="81">
        <v>43515</v>
      </c>
      <c r="J98" s="81"/>
      <c r="K98" s="81" t="s">
        <v>67</v>
      </c>
      <c r="L98" s="81">
        <v>38</v>
      </c>
      <c r="M98" s="81">
        <v>150</v>
      </c>
      <c r="N98" s="81" t="s">
        <v>59</v>
      </c>
      <c r="O98" s="81" t="s">
        <v>171</v>
      </c>
      <c r="P98" s="81" t="s">
        <v>215</v>
      </c>
      <c r="Q98" s="81">
        <v>45033</v>
      </c>
      <c r="R98" s="81" t="s">
        <v>519</v>
      </c>
      <c r="S98" s="81">
        <v>96</v>
      </c>
      <c r="T98" s="81" t="s">
        <v>287</v>
      </c>
      <c r="U98" s="81"/>
      <c r="V98" s="81"/>
      <c r="W98" s="81">
        <v>6</v>
      </c>
      <c r="X98" s="81">
        <v>7604.65</v>
      </c>
      <c r="Y98" s="81">
        <v>228</v>
      </c>
      <c r="Z98" s="81">
        <v>900</v>
      </c>
      <c r="AA98" s="81" t="s">
        <v>548</v>
      </c>
      <c r="AB98" s="81" t="s">
        <v>174</v>
      </c>
      <c r="AC98" s="81" t="s">
        <v>549</v>
      </c>
      <c r="AD98" s="81" t="s">
        <v>548</v>
      </c>
      <c r="AE98" s="81" t="s">
        <v>550</v>
      </c>
      <c r="AF98" s="81" t="s">
        <v>182</v>
      </c>
      <c r="AG98" s="81" t="s">
        <v>551</v>
      </c>
      <c r="AH98" s="81" t="s">
        <v>181</v>
      </c>
      <c r="AI98" s="81" t="s">
        <v>182</v>
      </c>
      <c r="AJ98" s="81" t="s">
        <v>177</v>
      </c>
      <c r="AK98" s="81">
        <v>45119.25</v>
      </c>
      <c r="AL98" s="81" t="s">
        <v>178</v>
      </c>
      <c r="AM98" s="81" t="s">
        <v>179</v>
      </c>
      <c r="AN98" s="81">
        <v>0</v>
      </c>
      <c r="AO98" s="80">
        <f t="shared" si="1"/>
        <v>0</v>
      </c>
    </row>
    <row r="99" spans="1:41">
      <c r="A99" s="81" t="s">
        <v>66</v>
      </c>
      <c r="B99" s="81" t="s">
        <v>124</v>
      </c>
      <c r="C99" s="81" t="s">
        <v>168</v>
      </c>
      <c r="D99" s="81" t="s">
        <v>169</v>
      </c>
      <c r="E99" s="81" t="s">
        <v>228</v>
      </c>
      <c r="F99" s="81" t="s">
        <v>229</v>
      </c>
      <c r="G99" s="81" t="s">
        <v>9</v>
      </c>
      <c r="H99" s="81">
        <v>20</v>
      </c>
      <c r="I99" s="81">
        <v>43515</v>
      </c>
      <c r="J99" s="81"/>
      <c r="K99" s="81" t="s">
        <v>67</v>
      </c>
      <c r="L99" s="81">
        <v>38</v>
      </c>
      <c r="M99" s="81">
        <v>150</v>
      </c>
      <c r="N99" s="81" t="s">
        <v>59</v>
      </c>
      <c r="O99" s="81" t="s">
        <v>171</v>
      </c>
      <c r="P99" s="81" t="s">
        <v>470</v>
      </c>
      <c r="Q99" s="81">
        <v>44860</v>
      </c>
      <c r="R99" s="81" t="s">
        <v>230</v>
      </c>
      <c r="S99" s="81">
        <v>97</v>
      </c>
      <c r="T99" s="81" t="s">
        <v>173</v>
      </c>
      <c r="U99" s="81"/>
      <c r="V99" s="81"/>
      <c r="W99" s="81">
        <v>5.9</v>
      </c>
      <c r="X99" s="81">
        <v>4488</v>
      </c>
      <c r="Y99" s="81">
        <v>224.2</v>
      </c>
      <c r="Z99" s="81">
        <v>885</v>
      </c>
      <c r="AA99" s="81" t="s">
        <v>472</v>
      </c>
      <c r="AB99" s="81" t="s">
        <v>174</v>
      </c>
      <c r="AC99" s="81" t="s">
        <v>473</v>
      </c>
      <c r="AD99" s="81" t="s">
        <v>472</v>
      </c>
      <c r="AE99" s="81" t="s">
        <v>474</v>
      </c>
      <c r="AF99" s="81" t="s">
        <v>216</v>
      </c>
      <c r="AG99" s="81" t="s">
        <v>218</v>
      </c>
      <c r="AH99" s="81" t="s">
        <v>217</v>
      </c>
      <c r="AI99" s="81" t="s">
        <v>182</v>
      </c>
      <c r="AJ99" s="81" t="s">
        <v>177</v>
      </c>
      <c r="AK99" s="81">
        <v>44946.125</v>
      </c>
      <c r="AL99" s="81" t="s">
        <v>178</v>
      </c>
      <c r="AM99" s="81" t="s">
        <v>179</v>
      </c>
      <c r="AN99" s="81">
        <v>0</v>
      </c>
      <c r="AO99" s="80">
        <f t="shared" si="1"/>
        <v>0</v>
      </c>
    </row>
    <row r="100" spans="1:41">
      <c r="A100" s="81" t="s">
        <v>66</v>
      </c>
      <c r="B100" s="81" t="s">
        <v>124</v>
      </c>
      <c r="C100" s="81" t="s">
        <v>168</v>
      </c>
      <c r="D100" s="81" t="s">
        <v>169</v>
      </c>
      <c r="E100" s="81" t="s">
        <v>228</v>
      </c>
      <c r="F100" s="81" t="s">
        <v>229</v>
      </c>
      <c r="G100" s="81" t="s">
        <v>9</v>
      </c>
      <c r="H100" s="81">
        <v>20</v>
      </c>
      <c r="I100" s="81">
        <v>43515</v>
      </c>
      <c r="J100" s="81"/>
      <c r="K100" s="81" t="s">
        <v>67</v>
      </c>
      <c r="L100" s="81">
        <v>38</v>
      </c>
      <c r="M100" s="81">
        <v>150</v>
      </c>
      <c r="N100" s="81" t="s">
        <v>59</v>
      </c>
      <c r="O100" s="81" t="s">
        <v>171</v>
      </c>
      <c r="P100" s="81" t="s">
        <v>196</v>
      </c>
      <c r="Q100" s="81">
        <v>44865</v>
      </c>
      <c r="R100" s="81" t="s">
        <v>538</v>
      </c>
      <c r="S100" s="81">
        <v>96</v>
      </c>
      <c r="T100" s="81" t="s">
        <v>173</v>
      </c>
      <c r="U100" s="81"/>
      <c r="V100" s="81"/>
      <c r="W100" s="81">
        <v>6</v>
      </c>
      <c r="X100" s="81">
        <v>4500</v>
      </c>
      <c r="Y100" s="81">
        <v>228</v>
      </c>
      <c r="Z100" s="81">
        <v>900</v>
      </c>
      <c r="AA100" s="81" t="s">
        <v>498</v>
      </c>
      <c r="AB100" s="81" t="s">
        <v>174</v>
      </c>
      <c r="AC100" s="81" t="s">
        <v>499</v>
      </c>
      <c r="AD100" s="81" t="s">
        <v>500</v>
      </c>
      <c r="AE100" s="81" t="s">
        <v>501</v>
      </c>
      <c r="AF100" s="81" t="s">
        <v>182</v>
      </c>
      <c r="AG100" s="81" t="s">
        <v>197</v>
      </c>
      <c r="AH100" s="81" t="s">
        <v>181</v>
      </c>
      <c r="AI100" s="81" t="s">
        <v>182</v>
      </c>
      <c r="AJ100" s="81" t="s">
        <v>177</v>
      </c>
      <c r="AK100" s="81">
        <v>44957.25</v>
      </c>
      <c r="AL100" s="81" t="s">
        <v>178</v>
      </c>
      <c r="AM100" s="81" t="s">
        <v>179</v>
      </c>
      <c r="AN100" s="81">
        <v>0</v>
      </c>
      <c r="AO100" s="80">
        <f t="shared" si="1"/>
        <v>0</v>
      </c>
    </row>
    <row r="101" spans="1:41">
      <c r="A101" s="81" t="s">
        <v>66</v>
      </c>
      <c r="B101" s="81" t="s">
        <v>124</v>
      </c>
      <c r="C101" s="81" t="s">
        <v>168</v>
      </c>
      <c r="D101" s="81" t="s">
        <v>169</v>
      </c>
      <c r="E101" s="81" t="s">
        <v>228</v>
      </c>
      <c r="F101" s="81" t="s">
        <v>229</v>
      </c>
      <c r="G101" s="81" t="s">
        <v>9</v>
      </c>
      <c r="H101" s="81">
        <v>20</v>
      </c>
      <c r="I101" s="81">
        <v>43515</v>
      </c>
      <c r="J101" s="81"/>
      <c r="K101" s="81" t="s">
        <v>67</v>
      </c>
      <c r="L101" s="81">
        <v>38</v>
      </c>
      <c r="M101" s="81">
        <v>150</v>
      </c>
      <c r="N101" s="81" t="s">
        <v>59</v>
      </c>
      <c r="O101" s="81" t="s">
        <v>171</v>
      </c>
      <c r="P101" s="81" t="s">
        <v>552</v>
      </c>
      <c r="Q101" s="81">
        <v>44742</v>
      </c>
      <c r="R101" s="81" t="s">
        <v>553</v>
      </c>
      <c r="S101" s="81">
        <v>95</v>
      </c>
      <c r="T101" s="81" t="s">
        <v>173</v>
      </c>
      <c r="U101" s="81"/>
      <c r="V101" s="81"/>
      <c r="W101" s="81">
        <v>6</v>
      </c>
      <c r="X101" s="81">
        <v>1567</v>
      </c>
      <c r="Y101" s="81">
        <v>228</v>
      </c>
      <c r="Z101" s="81">
        <v>900</v>
      </c>
      <c r="AA101" s="81" t="s">
        <v>554</v>
      </c>
      <c r="AB101" s="81" t="s">
        <v>174</v>
      </c>
      <c r="AC101" s="81" t="s">
        <v>555</v>
      </c>
      <c r="AD101" s="81" t="s">
        <v>554</v>
      </c>
      <c r="AE101" s="81" t="s">
        <v>556</v>
      </c>
      <c r="AF101" s="81" t="s">
        <v>182</v>
      </c>
      <c r="AG101" s="81" t="s">
        <v>557</v>
      </c>
      <c r="AH101" s="81" t="s">
        <v>173</v>
      </c>
      <c r="AI101" s="81" t="s">
        <v>182</v>
      </c>
      <c r="AJ101" s="81" t="s">
        <v>177</v>
      </c>
      <c r="AK101" s="81">
        <v>44957.25</v>
      </c>
      <c r="AL101" s="81" t="s">
        <v>178</v>
      </c>
      <c r="AM101" s="81" t="s">
        <v>179</v>
      </c>
      <c r="AN101" s="81">
        <v>0</v>
      </c>
      <c r="AO101" s="80">
        <f t="shared" si="1"/>
        <v>0</v>
      </c>
    </row>
    <row r="102" spans="1:41">
      <c r="A102" s="81" t="s">
        <v>66</v>
      </c>
      <c r="B102" s="81" t="s">
        <v>124</v>
      </c>
      <c r="C102" s="81" t="s">
        <v>168</v>
      </c>
      <c r="D102" s="81" t="s">
        <v>169</v>
      </c>
      <c r="E102" s="81" t="s">
        <v>228</v>
      </c>
      <c r="F102" s="81" t="s">
        <v>229</v>
      </c>
      <c r="G102" s="81" t="s">
        <v>9</v>
      </c>
      <c r="H102" s="81">
        <v>20</v>
      </c>
      <c r="I102" s="81">
        <v>43515</v>
      </c>
      <c r="J102" s="81"/>
      <c r="K102" s="81" t="s">
        <v>67</v>
      </c>
      <c r="L102" s="81">
        <v>38</v>
      </c>
      <c r="M102" s="81">
        <v>150</v>
      </c>
      <c r="N102" s="81" t="s">
        <v>59</v>
      </c>
      <c r="O102" s="81" t="s">
        <v>171</v>
      </c>
      <c r="P102" s="81" t="s">
        <v>502</v>
      </c>
      <c r="Q102" s="81">
        <v>44834</v>
      </c>
      <c r="R102" s="81" t="s">
        <v>538</v>
      </c>
      <c r="S102" s="81">
        <v>95</v>
      </c>
      <c r="T102" s="81" t="s">
        <v>173</v>
      </c>
      <c r="U102" s="81"/>
      <c r="V102" s="81"/>
      <c r="W102" s="81">
        <v>6</v>
      </c>
      <c r="X102" s="81">
        <v>1615</v>
      </c>
      <c r="Y102" s="81">
        <v>228</v>
      </c>
      <c r="Z102" s="81">
        <v>900</v>
      </c>
      <c r="AA102" s="81" t="s">
        <v>504</v>
      </c>
      <c r="AB102" s="81" t="s">
        <v>174</v>
      </c>
      <c r="AC102" s="81" t="s">
        <v>505</v>
      </c>
      <c r="AD102" s="81" t="s">
        <v>506</v>
      </c>
      <c r="AE102" s="81" t="s">
        <v>507</v>
      </c>
      <c r="AF102" s="81" t="s">
        <v>216</v>
      </c>
      <c r="AG102" s="81" t="s">
        <v>218</v>
      </c>
      <c r="AH102" s="81" t="s">
        <v>217</v>
      </c>
      <c r="AI102" s="81" t="s">
        <v>182</v>
      </c>
      <c r="AJ102" s="81" t="s">
        <v>177</v>
      </c>
      <c r="AK102" s="81">
        <v>44971.125</v>
      </c>
      <c r="AL102" s="81" t="s">
        <v>178</v>
      </c>
      <c r="AM102" s="81" t="s">
        <v>179</v>
      </c>
      <c r="AN102" s="81">
        <v>0</v>
      </c>
      <c r="AO102" s="80">
        <f t="shared" si="1"/>
        <v>0</v>
      </c>
    </row>
    <row r="103" spans="1:41">
      <c r="A103" s="81" t="s">
        <v>66</v>
      </c>
      <c r="B103" s="81" t="s">
        <v>124</v>
      </c>
      <c r="C103" s="81" t="s">
        <v>168</v>
      </c>
      <c r="D103" s="81" t="s">
        <v>169</v>
      </c>
      <c r="E103" s="81" t="s">
        <v>228</v>
      </c>
      <c r="F103" s="81" t="s">
        <v>229</v>
      </c>
      <c r="G103" s="81" t="s">
        <v>9</v>
      </c>
      <c r="H103" s="81">
        <v>20</v>
      </c>
      <c r="I103" s="81">
        <v>43515</v>
      </c>
      <c r="J103" s="81"/>
      <c r="K103" s="81" t="s">
        <v>67</v>
      </c>
      <c r="L103" s="81">
        <v>38</v>
      </c>
      <c r="M103" s="81">
        <v>150</v>
      </c>
      <c r="N103" s="81" t="s">
        <v>59</v>
      </c>
      <c r="O103" s="81" t="s">
        <v>171</v>
      </c>
      <c r="P103" s="81" t="s">
        <v>502</v>
      </c>
      <c r="Q103" s="81">
        <v>44834</v>
      </c>
      <c r="R103" s="81" t="s">
        <v>538</v>
      </c>
      <c r="S103" s="81">
        <v>95</v>
      </c>
      <c r="T103" s="81" t="s">
        <v>173</v>
      </c>
      <c r="U103" s="81"/>
      <c r="V103" s="81"/>
      <c r="W103" s="81">
        <v>6</v>
      </c>
      <c r="X103" s="81">
        <v>1615</v>
      </c>
      <c r="Y103" s="81">
        <v>228</v>
      </c>
      <c r="Z103" s="81">
        <v>900</v>
      </c>
      <c r="AA103" s="81" t="s">
        <v>504</v>
      </c>
      <c r="AB103" s="81" t="s">
        <v>174</v>
      </c>
      <c r="AC103" s="81" t="s">
        <v>505</v>
      </c>
      <c r="AD103" s="81" t="s">
        <v>506</v>
      </c>
      <c r="AE103" s="81" t="s">
        <v>507</v>
      </c>
      <c r="AF103" s="81" t="s">
        <v>216</v>
      </c>
      <c r="AG103" s="81" t="s">
        <v>218</v>
      </c>
      <c r="AH103" s="81" t="s">
        <v>217</v>
      </c>
      <c r="AI103" s="81" t="s">
        <v>182</v>
      </c>
      <c r="AJ103" s="81" t="s">
        <v>177</v>
      </c>
      <c r="AK103" s="81">
        <v>44971.125</v>
      </c>
      <c r="AL103" s="81" t="s">
        <v>178</v>
      </c>
      <c r="AM103" s="81" t="s">
        <v>179</v>
      </c>
      <c r="AN103" s="81">
        <v>0</v>
      </c>
      <c r="AO103" s="80">
        <f t="shared" si="1"/>
        <v>0</v>
      </c>
    </row>
    <row r="104" spans="1:41">
      <c r="A104" s="81" t="s">
        <v>66</v>
      </c>
      <c r="B104" s="81" t="s">
        <v>124</v>
      </c>
      <c r="C104" s="81" t="s">
        <v>168</v>
      </c>
      <c r="D104" s="81" t="s">
        <v>169</v>
      </c>
      <c r="E104" s="81" t="s">
        <v>228</v>
      </c>
      <c r="F104" s="81" t="s">
        <v>229</v>
      </c>
      <c r="G104" s="81" t="s">
        <v>9</v>
      </c>
      <c r="H104" s="81">
        <v>20</v>
      </c>
      <c r="I104" s="81">
        <v>43515</v>
      </c>
      <c r="J104" s="81"/>
      <c r="K104" s="81" t="s">
        <v>67</v>
      </c>
      <c r="L104" s="81">
        <v>38</v>
      </c>
      <c r="M104" s="81">
        <v>150</v>
      </c>
      <c r="N104" s="81" t="s">
        <v>59</v>
      </c>
      <c r="O104" s="81" t="s">
        <v>171</v>
      </c>
      <c r="P104" s="81" t="s">
        <v>552</v>
      </c>
      <c r="Q104" s="81">
        <v>44643</v>
      </c>
      <c r="R104" s="81" t="s">
        <v>553</v>
      </c>
      <c r="S104" s="81">
        <v>95</v>
      </c>
      <c r="T104" s="81" t="s">
        <v>173</v>
      </c>
      <c r="U104" s="81"/>
      <c r="V104" s="81"/>
      <c r="W104" s="81">
        <v>6</v>
      </c>
      <c r="X104" s="81">
        <v>1567</v>
      </c>
      <c r="Y104" s="81">
        <v>228</v>
      </c>
      <c r="Z104" s="81">
        <v>900</v>
      </c>
      <c r="AA104" s="81" t="s">
        <v>558</v>
      </c>
      <c r="AB104" s="81" t="s">
        <v>174</v>
      </c>
      <c r="AC104" s="81" t="s">
        <v>559</v>
      </c>
      <c r="AD104" s="81" t="s">
        <v>560</v>
      </c>
      <c r="AE104" s="81" t="s">
        <v>561</v>
      </c>
      <c r="AF104" s="81" t="s">
        <v>182</v>
      </c>
      <c r="AG104" s="81" t="s">
        <v>557</v>
      </c>
      <c r="AH104" s="81" t="s">
        <v>181</v>
      </c>
      <c r="AI104" s="81" t="s">
        <v>182</v>
      </c>
      <c r="AJ104" s="81" t="s">
        <v>177</v>
      </c>
      <c r="AK104" s="81">
        <v>45003.25</v>
      </c>
      <c r="AL104" s="81" t="s">
        <v>178</v>
      </c>
      <c r="AM104" s="81" t="s">
        <v>179</v>
      </c>
      <c r="AN104" s="81">
        <v>0</v>
      </c>
      <c r="AO104" s="80">
        <f t="shared" si="1"/>
        <v>0</v>
      </c>
    </row>
    <row r="105" spans="1:41">
      <c r="A105" s="81" t="s">
        <v>25</v>
      </c>
      <c r="B105" s="81" t="s">
        <v>288</v>
      </c>
      <c r="C105" s="81" t="s">
        <v>168</v>
      </c>
      <c r="D105" s="81" t="s">
        <v>169</v>
      </c>
      <c r="E105" s="81" t="s">
        <v>239</v>
      </c>
      <c r="F105" s="81" t="s">
        <v>239</v>
      </c>
      <c r="G105" s="81" t="s">
        <v>68</v>
      </c>
      <c r="H105" s="81">
        <v>25</v>
      </c>
      <c r="I105" s="81">
        <v>44652</v>
      </c>
      <c r="J105" s="81"/>
      <c r="K105" s="81" t="s">
        <v>65</v>
      </c>
      <c r="L105" s="81">
        <v>2.1</v>
      </c>
      <c r="M105" s="81">
        <v>10</v>
      </c>
      <c r="N105" s="81" t="s">
        <v>55</v>
      </c>
      <c r="O105" s="81" t="s">
        <v>275</v>
      </c>
      <c r="P105" s="81" t="s">
        <v>340</v>
      </c>
      <c r="Q105" s="81">
        <v>44804</v>
      </c>
      <c r="R105" s="81" t="s">
        <v>562</v>
      </c>
      <c r="S105" s="81">
        <v>96.1</v>
      </c>
      <c r="T105" s="81" t="s">
        <v>287</v>
      </c>
      <c r="U105" s="81"/>
      <c r="V105" s="81"/>
      <c r="W105" s="81">
        <v>2000</v>
      </c>
      <c r="X105" s="81">
        <v>36100.71</v>
      </c>
      <c r="Y105" s="81">
        <v>4200</v>
      </c>
      <c r="Z105" s="81">
        <v>20000</v>
      </c>
      <c r="AA105" s="81" t="s">
        <v>329</v>
      </c>
      <c r="AB105" s="81" t="s">
        <v>202</v>
      </c>
      <c r="AC105" s="81" t="s">
        <v>342</v>
      </c>
      <c r="AD105" s="81" t="s">
        <v>331</v>
      </c>
      <c r="AE105" s="81" t="s">
        <v>332</v>
      </c>
      <c r="AF105" s="81" t="s">
        <v>222</v>
      </c>
      <c r="AG105" s="81" t="s">
        <v>333</v>
      </c>
      <c r="AH105" s="81" t="s">
        <v>243</v>
      </c>
      <c r="AI105" s="81" t="s">
        <v>222</v>
      </c>
      <c r="AJ105" s="81" t="s">
        <v>205</v>
      </c>
      <c r="AK105" s="81">
        <v>45055.125</v>
      </c>
      <c r="AL105" s="81" t="s">
        <v>207</v>
      </c>
      <c r="AM105" s="81" t="s">
        <v>179</v>
      </c>
      <c r="AN105" s="81">
        <v>0</v>
      </c>
      <c r="AO105" s="80">
        <f t="shared" si="1"/>
        <v>0</v>
      </c>
    </row>
    <row r="106" spans="1:41">
      <c r="A106" s="81" t="s">
        <v>25</v>
      </c>
      <c r="B106" s="81" t="s">
        <v>288</v>
      </c>
      <c r="C106" s="81" t="s">
        <v>168</v>
      </c>
      <c r="D106" s="81" t="s">
        <v>169</v>
      </c>
      <c r="E106" s="81" t="s">
        <v>239</v>
      </c>
      <c r="F106" s="81" t="s">
        <v>239</v>
      </c>
      <c r="G106" s="81" t="s">
        <v>68</v>
      </c>
      <c r="H106" s="81">
        <v>25</v>
      </c>
      <c r="I106" s="81">
        <v>44652</v>
      </c>
      <c r="J106" s="81"/>
      <c r="K106" s="81" t="s">
        <v>65</v>
      </c>
      <c r="L106" s="81">
        <v>2.1</v>
      </c>
      <c r="M106" s="81">
        <v>10</v>
      </c>
      <c r="N106" s="81" t="s">
        <v>55</v>
      </c>
      <c r="O106" s="81" t="s">
        <v>275</v>
      </c>
      <c r="P106" s="81" t="s">
        <v>340</v>
      </c>
      <c r="Q106" s="81">
        <v>44804</v>
      </c>
      <c r="R106" s="81" t="s">
        <v>562</v>
      </c>
      <c r="S106" s="81">
        <v>96.1</v>
      </c>
      <c r="T106" s="81" t="s">
        <v>287</v>
      </c>
      <c r="U106" s="81"/>
      <c r="V106" s="81"/>
      <c r="W106" s="81">
        <v>2000</v>
      </c>
      <c r="X106" s="81">
        <v>36100.71</v>
      </c>
      <c r="Y106" s="81">
        <v>4200</v>
      </c>
      <c r="Z106" s="81">
        <v>20000</v>
      </c>
      <c r="AA106" s="81" t="s">
        <v>329</v>
      </c>
      <c r="AB106" s="81" t="s">
        <v>202</v>
      </c>
      <c r="AC106" s="81" t="s">
        <v>342</v>
      </c>
      <c r="AD106" s="81" t="s">
        <v>331</v>
      </c>
      <c r="AE106" s="81" t="s">
        <v>332</v>
      </c>
      <c r="AF106" s="81" t="s">
        <v>222</v>
      </c>
      <c r="AG106" s="81" t="s">
        <v>333</v>
      </c>
      <c r="AH106" s="81" t="s">
        <v>243</v>
      </c>
      <c r="AI106" s="81" t="s">
        <v>222</v>
      </c>
      <c r="AJ106" s="81" t="s">
        <v>205</v>
      </c>
      <c r="AK106" s="81">
        <v>45055.125</v>
      </c>
      <c r="AL106" s="81" t="s">
        <v>207</v>
      </c>
      <c r="AM106" s="81" t="s">
        <v>179</v>
      </c>
      <c r="AN106" s="81">
        <v>0</v>
      </c>
      <c r="AO106" s="80">
        <f t="shared" si="1"/>
        <v>0</v>
      </c>
    </row>
    <row r="107" spans="1:41">
      <c r="A107" s="81" t="s">
        <v>25</v>
      </c>
      <c r="B107" s="81" t="s">
        <v>288</v>
      </c>
      <c r="C107" s="81" t="s">
        <v>168</v>
      </c>
      <c r="D107" s="81" t="s">
        <v>169</v>
      </c>
      <c r="E107" s="81" t="s">
        <v>239</v>
      </c>
      <c r="F107" s="81" t="s">
        <v>239</v>
      </c>
      <c r="G107" s="81" t="s">
        <v>68</v>
      </c>
      <c r="H107" s="81">
        <v>25</v>
      </c>
      <c r="I107" s="81">
        <v>44652</v>
      </c>
      <c r="J107" s="81"/>
      <c r="K107" s="81" t="s">
        <v>65</v>
      </c>
      <c r="L107" s="81">
        <v>2.1</v>
      </c>
      <c r="M107" s="81">
        <v>10</v>
      </c>
      <c r="N107" s="81" t="s">
        <v>55</v>
      </c>
      <c r="O107" s="81" t="s">
        <v>275</v>
      </c>
      <c r="P107" s="81" t="s">
        <v>563</v>
      </c>
      <c r="Q107" s="81">
        <v>44681</v>
      </c>
      <c r="R107" s="81" t="s">
        <v>564</v>
      </c>
      <c r="S107" s="81">
        <v>96.1</v>
      </c>
      <c r="T107" s="81" t="s">
        <v>287</v>
      </c>
      <c r="U107" s="81"/>
      <c r="V107" s="81"/>
      <c r="W107" s="81">
        <v>500</v>
      </c>
      <c r="X107" s="81">
        <v>36100.71</v>
      </c>
      <c r="Y107" s="81">
        <v>1050</v>
      </c>
      <c r="Z107" s="81">
        <v>5000</v>
      </c>
      <c r="AA107" s="81" t="s">
        <v>329</v>
      </c>
      <c r="AB107" s="81" t="s">
        <v>202</v>
      </c>
      <c r="AC107" s="81" t="s">
        <v>342</v>
      </c>
      <c r="AD107" s="81" t="s">
        <v>331</v>
      </c>
      <c r="AE107" s="81" t="s">
        <v>332</v>
      </c>
      <c r="AF107" s="81" t="s">
        <v>222</v>
      </c>
      <c r="AG107" s="81" t="s">
        <v>333</v>
      </c>
      <c r="AH107" s="81" t="s">
        <v>243</v>
      </c>
      <c r="AI107" s="81" t="s">
        <v>222</v>
      </c>
      <c r="AJ107" s="81" t="s">
        <v>205</v>
      </c>
      <c r="AK107" s="81">
        <v>45055.125</v>
      </c>
      <c r="AL107" s="81" t="s">
        <v>207</v>
      </c>
      <c r="AM107" s="81" t="s">
        <v>179</v>
      </c>
      <c r="AN107" s="81">
        <v>0</v>
      </c>
      <c r="AO107" s="80">
        <f t="shared" si="1"/>
        <v>0</v>
      </c>
    </row>
    <row r="108" spans="1:41">
      <c r="A108" s="81" t="s">
        <v>25</v>
      </c>
      <c r="B108" s="81" t="s">
        <v>288</v>
      </c>
      <c r="C108" s="81" t="s">
        <v>168</v>
      </c>
      <c r="D108" s="81" t="s">
        <v>169</v>
      </c>
      <c r="E108" s="81" t="s">
        <v>239</v>
      </c>
      <c r="F108" s="81" t="s">
        <v>239</v>
      </c>
      <c r="G108" s="81" t="s">
        <v>68</v>
      </c>
      <c r="H108" s="81">
        <v>25</v>
      </c>
      <c r="I108" s="81">
        <v>44652</v>
      </c>
      <c r="J108" s="81"/>
      <c r="K108" s="81" t="s">
        <v>65</v>
      </c>
      <c r="L108" s="81">
        <v>2.1</v>
      </c>
      <c r="M108" s="81">
        <v>10</v>
      </c>
      <c r="N108" s="81" t="s">
        <v>55</v>
      </c>
      <c r="O108" s="81" t="s">
        <v>275</v>
      </c>
      <c r="P108" s="81" t="s">
        <v>343</v>
      </c>
      <c r="Q108" s="81">
        <v>44788</v>
      </c>
      <c r="R108" s="81" t="s">
        <v>565</v>
      </c>
      <c r="S108" s="81">
        <v>96.2</v>
      </c>
      <c r="T108" s="81" t="s">
        <v>173</v>
      </c>
      <c r="U108" s="81"/>
      <c r="V108" s="81"/>
      <c r="W108" s="81">
        <v>1999</v>
      </c>
      <c r="X108" s="81">
        <v>47500</v>
      </c>
      <c r="Y108" s="81">
        <v>4197.8999999999996</v>
      </c>
      <c r="Z108" s="81">
        <v>19990</v>
      </c>
      <c r="AA108" s="81" t="s">
        <v>345</v>
      </c>
      <c r="AB108" s="81" t="s">
        <v>183</v>
      </c>
      <c r="AC108" s="81" t="s">
        <v>346</v>
      </c>
      <c r="AD108" s="81" t="s">
        <v>347</v>
      </c>
      <c r="AE108" s="81" t="s">
        <v>348</v>
      </c>
      <c r="AF108" s="81" t="s">
        <v>349</v>
      </c>
      <c r="AG108" s="81" t="s">
        <v>350</v>
      </c>
      <c r="AH108" s="81" t="s">
        <v>181</v>
      </c>
      <c r="AI108" s="81" t="s">
        <v>206</v>
      </c>
      <c r="AJ108" s="81" t="s">
        <v>177</v>
      </c>
      <c r="AK108" s="81">
        <v>45048.125</v>
      </c>
      <c r="AL108" s="81" t="s">
        <v>178</v>
      </c>
      <c r="AM108" s="81" t="s">
        <v>179</v>
      </c>
      <c r="AN108" s="81">
        <v>0</v>
      </c>
      <c r="AO108" s="80">
        <f t="shared" si="1"/>
        <v>0</v>
      </c>
    </row>
    <row r="109" spans="1:41">
      <c r="A109" s="81" t="s">
        <v>25</v>
      </c>
      <c r="B109" s="81" t="s">
        <v>288</v>
      </c>
      <c r="C109" s="81" t="s">
        <v>168</v>
      </c>
      <c r="D109" s="81" t="s">
        <v>169</v>
      </c>
      <c r="E109" s="81" t="s">
        <v>239</v>
      </c>
      <c r="F109" s="81" t="s">
        <v>239</v>
      </c>
      <c r="G109" s="81" t="s">
        <v>68</v>
      </c>
      <c r="H109" s="81">
        <v>25</v>
      </c>
      <c r="I109" s="81">
        <v>44652</v>
      </c>
      <c r="J109" s="81"/>
      <c r="K109" s="81" t="s">
        <v>65</v>
      </c>
      <c r="L109" s="81">
        <v>2.1</v>
      </c>
      <c r="M109" s="81">
        <v>10</v>
      </c>
      <c r="N109" s="81" t="s">
        <v>55</v>
      </c>
      <c r="O109" s="81" t="s">
        <v>275</v>
      </c>
      <c r="P109" s="81" t="s">
        <v>343</v>
      </c>
      <c r="Q109" s="81">
        <v>44788</v>
      </c>
      <c r="R109" s="81" t="s">
        <v>565</v>
      </c>
      <c r="S109" s="81">
        <v>96.2</v>
      </c>
      <c r="T109" s="81" t="s">
        <v>173</v>
      </c>
      <c r="U109" s="81"/>
      <c r="V109" s="81"/>
      <c r="W109" s="81">
        <v>1999</v>
      </c>
      <c r="X109" s="81">
        <v>47500</v>
      </c>
      <c r="Y109" s="81">
        <v>4197.8999999999996</v>
      </c>
      <c r="Z109" s="81">
        <v>19990</v>
      </c>
      <c r="AA109" s="81" t="s">
        <v>345</v>
      </c>
      <c r="AB109" s="81" t="s">
        <v>183</v>
      </c>
      <c r="AC109" s="81" t="s">
        <v>346</v>
      </c>
      <c r="AD109" s="81" t="s">
        <v>347</v>
      </c>
      <c r="AE109" s="81" t="s">
        <v>348</v>
      </c>
      <c r="AF109" s="81" t="s">
        <v>349</v>
      </c>
      <c r="AG109" s="81" t="s">
        <v>350</v>
      </c>
      <c r="AH109" s="81" t="s">
        <v>181</v>
      </c>
      <c r="AI109" s="81" t="s">
        <v>206</v>
      </c>
      <c r="AJ109" s="81" t="s">
        <v>177</v>
      </c>
      <c r="AK109" s="81">
        <v>45048.125</v>
      </c>
      <c r="AL109" s="81" t="s">
        <v>178</v>
      </c>
      <c r="AM109" s="81" t="s">
        <v>179</v>
      </c>
      <c r="AN109" s="81">
        <v>0</v>
      </c>
      <c r="AO109" s="80">
        <f t="shared" si="1"/>
        <v>0</v>
      </c>
    </row>
    <row r="110" spans="1:41">
      <c r="A110" s="81" t="s">
        <v>25</v>
      </c>
      <c r="B110" s="81" t="s">
        <v>288</v>
      </c>
      <c r="C110" s="81" t="s">
        <v>168</v>
      </c>
      <c r="D110" s="81" t="s">
        <v>169</v>
      </c>
      <c r="E110" s="81" t="s">
        <v>239</v>
      </c>
      <c r="F110" s="81" t="s">
        <v>239</v>
      </c>
      <c r="G110" s="81" t="s">
        <v>68</v>
      </c>
      <c r="H110" s="81">
        <v>25</v>
      </c>
      <c r="I110" s="81">
        <v>44652</v>
      </c>
      <c r="J110" s="81"/>
      <c r="K110" s="81" t="s">
        <v>65</v>
      </c>
      <c r="L110" s="81">
        <v>2.1</v>
      </c>
      <c r="M110" s="81">
        <v>10</v>
      </c>
      <c r="N110" s="81" t="s">
        <v>55</v>
      </c>
      <c r="O110" s="81" t="s">
        <v>275</v>
      </c>
      <c r="P110" s="81" t="s">
        <v>343</v>
      </c>
      <c r="Q110" s="81">
        <v>44788</v>
      </c>
      <c r="R110" s="81" t="s">
        <v>565</v>
      </c>
      <c r="S110" s="81">
        <v>96.2</v>
      </c>
      <c r="T110" s="81" t="s">
        <v>173</v>
      </c>
      <c r="U110" s="81"/>
      <c r="V110" s="81"/>
      <c r="W110" s="81">
        <v>1999</v>
      </c>
      <c r="X110" s="81">
        <v>60000</v>
      </c>
      <c r="Y110" s="81">
        <v>4197.8999999999996</v>
      </c>
      <c r="Z110" s="81">
        <v>19990</v>
      </c>
      <c r="AA110" s="81" t="s">
        <v>345</v>
      </c>
      <c r="AB110" s="81" t="s">
        <v>183</v>
      </c>
      <c r="AC110" s="81" t="s">
        <v>352</v>
      </c>
      <c r="AD110" s="81" t="s">
        <v>353</v>
      </c>
      <c r="AE110" s="81" t="s">
        <v>354</v>
      </c>
      <c r="AF110" s="81" t="s">
        <v>349</v>
      </c>
      <c r="AG110" s="81" t="s">
        <v>355</v>
      </c>
      <c r="AH110" s="81" t="s">
        <v>181</v>
      </c>
      <c r="AI110" s="81" t="s">
        <v>206</v>
      </c>
      <c r="AJ110" s="81" t="s">
        <v>177</v>
      </c>
      <c r="AK110" s="81">
        <v>45048.125</v>
      </c>
      <c r="AL110" s="81" t="s">
        <v>178</v>
      </c>
      <c r="AM110" s="81" t="s">
        <v>179</v>
      </c>
      <c r="AN110" s="81">
        <v>0</v>
      </c>
      <c r="AO110" s="80">
        <f t="shared" si="1"/>
        <v>0</v>
      </c>
    </row>
    <row r="111" spans="1:41">
      <c r="A111" s="81" t="s">
        <v>25</v>
      </c>
      <c r="B111" s="81" t="s">
        <v>288</v>
      </c>
      <c r="C111" s="81" t="s">
        <v>168</v>
      </c>
      <c r="D111" s="81" t="s">
        <v>169</v>
      </c>
      <c r="E111" s="81" t="s">
        <v>239</v>
      </c>
      <c r="F111" s="81" t="s">
        <v>239</v>
      </c>
      <c r="G111" s="81" t="s">
        <v>68</v>
      </c>
      <c r="H111" s="81">
        <v>25</v>
      </c>
      <c r="I111" s="81">
        <v>44652</v>
      </c>
      <c r="J111" s="81"/>
      <c r="K111" s="81" t="s">
        <v>65</v>
      </c>
      <c r="L111" s="81">
        <v>2.1</v>
      </c>
      <c r="M111" s="81">
        <v>10</v>
      </c>
      <c r="N111" s="81" t="s">
        <v>55</v>
      </c>
      <c r="O111" s="81" t="s">
        <v>275</v>
      </c>
      <c r="P111" s="81" t="s">
        <v>343</v>
      </c>
      <c r="Q111" s="81">
        <v>44788</v>
      </c>
      <c r="R111" s="81" t="s">
        <v>565</v>
      </c>
      <c r="S111" s="81">
        <v>96.2</v>
      </c>
      <c r="T111" s="81" t="s">
        <v>173</v>
      </c>
      <c r="U111" s="81"/>
      <c r="V111" s="81"/>
      <c r="W111" s="81">
        <v>1999</v>
      </c>
      <c r="X111" s="81">
        <v>60000</v>
      </c>
      <c r="Y111" s="81">
        <v>4197.8999999999996</v>
      </c>
      <c r="Z111" s="81">
        <v>19990</v>
      </c>
      <c r="AA111" s="81" t="s">
        <v>345</v>
      </c>
      <c r="AB111" s="81" t="s">
        <v>183</v>
      </c>
      <c r="AC111" s="81" t="s">
        <v>352</v>
      </c>
      <c r="AD111" s="81" t="s">
        <v>353</v>
      </c>
      <c r="AE111" s="81" t="s">
        <v>354</v>
      </c>
      <c r="AF111" s="81" t="s">
        <v>349</v>
      </c>
      <c r="AG111" s="81" t="s">
        <v>355</v>
      </c>
      <c r="AH111" s="81" t="s">
        <v>181</v>
      </c>
      <c r="AI111" s="81" t="s">
        <v>206</v>
      </c>
      <c r="AJ111" s="81" t="s">
        <v>177</v>
      </c>
      <c r="AK111" s="81">
        <v>45048.125</v>
      </c>
      <c r="AL111" s="81" t="s">
        <v>178</v>
      </c>
      <c r="AM111" s="81" t="s">
        <v>179</v>
      </c>
      <c r="AN111" s="81">
        <v>0</v>
      </c>
      <c r="AO111" s="80">
        <f t="shared" si="1"/>
        <v>0</v>
      </c>
    </row>
    <row r="112" spans="1:41">
      <c r="A112" s="81" t="s">
        <v>25</v>
      </c>
      <c r="B112" s="81" t="s">
        <v>288</v>
      </c>
      <c r="C112" s="81" t="s">
        <v>168</v>
      </c>
      <c r="D112" s="81" t="s">
        <v>169</v>
      </c>
      <c r="E112" s="81" t="s">
        <v>239</v>
      </c>
      <c r="F112" s="81" t="s">
        <v>239</v>
      </c>
      <c r="G112" s="81" t="s">
        <v>68</v>
      </c>
      <c r="H112" s="81">
        <v>25</v>
      </c>
      <c r="I112" s="81">
        <v>44652</v>
      </c>
      <c r="J112" s="81"/>
      <c r="K112" s="81" t="s">
        <v>65</v>
      </c>
      <c r="L112" s="81">
        <v>2.1</v>
      </c>
      <c r="M112" s="81">
        <v>10</v>
      </c>
      <c r="N112" s="81" t="s">
        <v>55</v>
      </c>
      <c r="O112" s="81" t="s">
        <v>275</v>
      </c>
      <c r="P112" s="81" t="s">
        <v>566</v>
      </c>
      <c r="Q112" s="81">
        <v>44774</v>
      </c>
      <c r="R112" s="81" t="s">
        <v>567</v>
      </c>
      <c r="S112" s="81">
        <v>95.3</v>
      </c>
      <c r="T112" s="81" t="s">
        <v>287</v>
      </c>
      <c r="U112" s="81"/>
      <c r="V112" s="81"/>
      <c r="W112" s="81">
        <v>1000</v>
      </c>
      <c r="X112" s="81">
        <v>48300</v>
      </c>
      <c r="Y112" s="81">
        <v>2100</v>
      </c>
      <c r="Z112" s="81">
        <v>10000</v>
      </c>
      <c r="AA112" s="81" t="s">
        <v>568</v>
      </c>
      <c r="AB112" s="81" t="s">
        <v>202</v>
      </c>
      <c r="AC112" s="81" t="s">
        <v>569</v>
      </c>
      <c r="AD112" s="81" t="s">
        <v>290</v>
      </c>
      <c r="AE112" s="81" t="s">
        <v>570</v>
      </c>
      <c r="AF112" s="81" t="s">
        <v>204</v>
      </c>
      <c r="AG112" s="81" t="s">
        <v>571</v>
      </c>
      <c r="AH112" s="81" t="s">
        <v>203</v>
      </c>
      <c r="AI112" s="81" t="s">
        <v>204</v>
      </c>
      <c r="AJ112" s="81" t="s">
        <v>205</v>
      </c>
      <c r="AK112" s="81">
        <v>45052.125</v>
      </c>
      <c r="AL112" s="81" t="s">
        <v>178</v>
      </c>
      <c r="AM112" s="81" t="s">
        <v>179</v>
      </c>
      <c r="AN112" s="81">
        <v>0</v>
      </c>
      <c r="AO112" s="80">
        <f t="shared" si="1"/>
        <v>0</v>
      </c>
    </row>
    <row r="113" spans="1:41">
      <c r="A113" s="81" t="s">
        <v>25</v>
      </c>
      <c r="B113" s="81" t="s">
        <v>288</v>
      </c>
      <c r="C113" s="81" t="s">
        <v>168</v>
      </c>
      <c r="D113" s="81" t="s">
        <v>169</v>
      </c>
      <c r="E113" s="81" t="s">
        <v>239</v>
      </c>
      <c r="F113" s="81" t="s">
        <v>239</v>
      </c>
      <c r="G113" s="81" t="s">
        <v>68</v>
      </c>
      <c r="H113" s="81">
        <v>25</v>
      </c>
      <c r="I113" s="81">
        <v>44652</v>
      </c>
      <c r="J113" s="81"/>
      <c r="K113" s="81" t="s">
        <v>65</v>
      </c>
      <c r="L113" s="81">
        <v>2.1</v>
      </c>
      <c r="M113" s="81">
        <v>10</v>
      </c>
      <c r="N113" s="81" t="s">
        <v>55</v>
      </c>
      <c r="O113" s="81" t="s">
        <v>275</v>
      </c>
      <c r="P113" s="81" t="s">
        <v>566</v>
      </c>
      <c r="Q113" s="81">
        <v>44774</v>
      </c>
      <c r="R113" s="81" t="s">
        <v>567</v>
      </c>
      <c r="S113" s="81">
        <v>95.3</v>
      </c>
      <c r="T113" s="81" t="s">
        <v>287</v>
      </c>
      <c r="U113" s="81"/>
      <c r="V113" s="81"/>
      <c r="W113" s="81">
        <v>1000</v>
      </c>
      <c r="X113" s="81">
        <v>48300</v>
      </c>
      <c r="Y113" s="81">
        <v>2100</v>
      </c>
      <c r="Z113" s="81">
        <v>10000</v>
      </c>
      <c r="AA113" s="81" t="s">
        <v>568</v>
      </c>
      <c r="AB113" s="81" t="s">
        <v>202</v>
      </c>
      <c r="AC113" s="81" t="s">
        <v>569</v>
      </c>
      <c r="AD113" s="81" t="s">
        <v>290</v>
      </c>
      <c r="AE113" s="81" t="s">
        <v>570</v>
      </c>
      <c r="AF113" s="81" t="s">
        <v>204</v>
      </c>
      <c r="AG113" s="81" t="s">
        <v>571</v>
      </c>
      <c r="AH113" s="81" t="s">
        <v>203</v>
      </c>
      <c r="AI113" s="81" t="s">
        <v>204</v>
      </c>
      <c r="AJ113" s="81" t="s">
        <v>205</v>
      </c>
      <c r="AK113" s="81">
        <v>45052.125</v>
      </c>
      <c r="AL113" s="81" t="s">
        <v>178</v>
      </c>
      <c r="AM113" s="81" t="s">
        <v>179</v>
      </c>
      <c r="AN113" s="81">
        <v>0</v>
      </c>
      <c r="AO113" s="80">
        <f t="shared" si="1"/>
        <v>0</v>
      </c>
    </row>
    <row r="114" spans="1:41">
      <c r="A114" s="81" t="s">
        <v>25</v>
      </c>
      <c r="B114" s="81" t="s">
        <v>288</v>
      </c>
      <c r="C114" s="81" t="s">
        <v>168</v>
      </c>
      <c r="D114" s="81" t="s">
        <v>169</v>
      </c>
      <c r="E114" s="81" t="s">
        <v>239</v>
      </c>
      <c r="F114" s="81" t="s">
        <v>239</v>
      </c>
      <c r="G114" s="81" t="s">
        <v>68</v>
      </c>
      <c r="H114" s="81">
        <v>25</v>
      </c>
      <c r="I114" s="81">
        <v>44652</v>
      </c>
      <c r="J114" s="81"/>
      <c r="K114" s="81" t="s">
        <v>65</v>
      </c>
      <c r="L114" s="81">
        <v>2.1</v>
      </c>
      <c r="M114" s="81">
        <v>10</v>
      </c>
      <c r="N114" s="81" t="s">
        <v>55</v>
      </c>
      <c r="O114" s="81" t="s">
        <v>275</v>
      </c>
      <c r="P114" s="81" t="s">
        <v>273</v>
      </c>
      <c r="Q114" s="81">
        <v>44731</v>
      </c>
      <c r="R114" s="81" t="s">
        <v>572</v>
      </c>
      <c r="S114" s="81">
        <v>95.6</v>
      </c>
      <c r="T114" s="81" t="s">
        <v>287</v>
      </c>
      <c r="U114" s="81"/>
      <c r="V114" s="81"/>
      <c r="W114" s="81">
        <v>750</v>
      </c>
      <c r="X114" s="81">
        <v>25245</v>
      </c>
      <c r="Y114" s="81">
        <v>1575</v>
      </c>
      <c r="Z114" s="81">
        <v>7500</v>
      </c>
      <c r="AA114" s="81" t="s">
        <v>425</v>
      </c>
      <c r="AB114" s="81" t="s">
        <v>174</v>
      </c>
      <c r="AC114" s="81" t="s">
        <v>426</v>
      </c>
      <c r="AD114" s="81" t="s">
        <v>427</v>
      </c>
      <c r="AE114" s="81" t="s">
        <v>428</v>
      </c>
      <c r="AF114" s="81" t="s">
        <v>175</v>
      </c>
      <c r="AG114" s="81" t="s">
        <v>429</v>
      </c>
      <c r="AH114" s="81" t="s">
        <v>175</v>
      </c>
      <c r="AI114" s="81" t="s">
        <v>175</v>
      </c>
      <c r="AJ114" s="81" t="s">
        <v>177</v>
      </c>
      <c r="AK114" s="81">
        <v>45052.125</v>
      </c>
      <c r="AL114" s="81" t="s">
        <v>178</v>
      </c>
      <c r="AM114" s="81" t="s">
        <v>179</v>
      </c>
      <c r="AN114" s="81">
        <v>0</v>
      </c>
      <c r="AO114" s="80">
        <f t="shared" si="1"/>
        <v>0</v>
      </c>
    </row>
    <row r="115" spans="1:41">
      <c r="A115" s="81" t="s">
        <v>25</v>
      </c>
      <c r="B115" s="81" t="s">
        <v>288</v>
      </c>
      <c r="C115" s="81" t="s">
        <v>168</v>
      </c>
      <c r="D115" s="81" t="s">
        <v>169</v>
      </c>
      <c r="E115" s="81" t="s">
        <v>239</v>
      </c>
      <c r="F115" s="81" t="s">
        <v>239</v>
      </c>
      <c r="G115" s="81" t="s">
        <v>68</v>
      </c>
      <c r="H115" s="81">
        <v>25</v>
      </c>
      <c r="I115" s="81">
        <v>44652</v>
      </c>
      <c r="J115" s="81"/>
      <c r="K115" s="81" t="s">
        <v>65</v>
      </c>
      <c r="L115" s="81">
        <v>2.1</v>
      </c>
      <c r="M115" s="81">
        <v>10</v>
      </c>
      <c r="N115" s="81" t="s">
        <v>55</v>
      </c>
      <c r="O115" s="81" t="s">
        <v>275</v>
      </c>
      <c r="P115" s="81" t="s">
        <v>273</v>
      </c>
      <c r="Q115" s="81">
        <v>44731</v>
      </c>
      <c r="R115" s="81" t="s">
        <v>572</v>
      </c>
      <c r="S115" s="81">
        <v>95.6</v>
      </c>
      <c r="T115" s="81" t="s">
        <v>287</v>
      </c>
      <c r="U115" s="81"/>
      <c r="V115" s="81"/>
      <c r="W115" s="81">
        <v>750</v>
      </c>
      <c r="X115" s="81">
        <v>25245</v>
      </c>
      <c r="Y115" s="81">
        <v>1575</v>
      </c>
      <c r="Z115" s="81">
        <v>7500</v>
      </c>
      <c r="AA115" s="81" t="s">
        <v>425</v>
      </c>
      <c r="AB115" s="81" t="s">
        <v>174</v>
      </c>
      <c r="AC115" s="81" t="s">
        <v>426</v>
      </c>
      <c r="AD115" s="81" t="s">
        <v>427</v>
      </c>
      <c r="AE115" s="81" t="s">
        <v>428</v>
      </c>
      <c r="AF115" s="81" t="s">
        <v>175</v>
      </c>
      <c r="AG115" s="81" t="s">
        <v>429</v>
      </c>
      <c r="AH115" s="81" t="s">
        <v>175</v>
      </c>
      <c r="AI115" s="81" t="s">
        <v>175</v>
      </c>
      <c r="AJ115" s="81" t="s">
        <v>177</v>
      </c>
      <c r="AK115" s="81">
        <v>45052.125</v>
      </c>
      <c r="AL115" s="81" t="s">
        <v>178</v>
      </c>
      <c r="AM115" s="81" t="s">
        <v>179</v>
      </c>
      <c r="AN115" s="81">
        <v>0</v>
      </c>
      <c r="AO115" s="80">
        <f t="shared" si="1"/>
        <v>0</v>
      </c>
    </row>
    <row r="116" spans="1:41">
      <c r="A116" s="81" t="s">
        <v>25</v>
      </c>
      <c r="B116" s="81" t="s">
        <v>288</v>
      </c>
      <c r="C116" s="81" t="s">
        <v>168</v>
      </c>
      <c r="D116" s="81" t="s">
        <v>169</v>
      </c>
      <c r="E116" s="81" t="s">
        <v>239</v>
      </c>
      <c r="F116" s="81" t="s">
        <v>239</v>
      </c>
      <c r="G116" s="81" t="s">
        <v>68</v>
      </c>
      <c r="H116" s="81">
        <v>25</v>
      </c>
      <c r="I116" s="81">
        <v>44652</v>
      </c>
      <c r="J116" s="81"/>
      <c r="K116" s="81" t="s">
        <v>65</v>
      </c>
      <c r="L116" s="81">
        <v>2.1</v>
      </c>
      <c r="M116" s="81">
        <v>10</v>
      </c>
      <c r="N116" s="81" t="s">
        <v>55</v>
      </c>
      <c r="O116" s="81" t="s">
        <v>275</v>
      </c>
      <c r="P116" s="81" t="s">
        <v>356</v>
      </c>
      <c r="Q116" s="81">
        <v>45031</v>
      </c>
      <c r="R116" s="81" t="s">
        <v>289</v>
      </c>
      <c r="S116" s="81">
        <v>90</v>
      </c>
      <c r="T116" s="81" t="s">
        <v>173</v>
      </c>
      <c r="U116" s="81"/>
      <c r="V116" s="81"/>
      <c r="W116" s="81">
        <v>2600</v>
      </c>
      <c r="X116" s="81">
        <v>120250</v>
      </c>
      <c r="Y116" s="81">
        <v>5460</v>
      </c>
      <c r="Z116" s="81">
        <v>26000</v>
      </c>
      <c r="AA116" s="81" t="s">
        <v>358</v>
      </c>
      <c r="AB116" s="81" t="s">
        <v>183</v>
      </c>
      <c r="AC116" s="81" t="s">
        <v>359</v>
      </c>
      <c r="AD116" s="81" t="s">
        <v>360</v>
      </c>
      <c r="AE116" s="81" t="s">
        <v>361</v>
      </c>
      <c r="AF116" s="81" t="s">
        <v>362</v>
      </c>
      <c r="AG116" s="81" t="s">
        <v>363</v>
      </c>
      <c r="AH116" s="81" t="s">
        <v>209</v>
      </c>
      <c r="AI116" s="81" t="s">
        <v>210</v>
      </c>
      <c r="AJ116" s="81" t="s">
        <v>205</v>
      </c>
      <c r="AK116" s="81">
        <v>45121.25</v>
      </c>
      <c r="AL116" s="81" t="s">
        <v>178</v>
      </c>
      <c r="AM116" s="81" t="s">
        <v>179</v>
      </c>
      <c r="AN116" s="81">
        <v>0</v>
      </c>
      <c r="AO116" s="80">
        <f t="shared" si="1"/>
        <v>0</v>
      </c>
    </row>
    <row r="117" spans="1:41">
      <c r="A117" s="81" t="s">
        <v>25</v>
      </c>
      <c r="B117" s="81" t="s">
        <v>288</v>
      </c>
      <c r="C117" s="81" t="s">
        <v>168</v>
      </c>
      <c r="D117" s="81" t="s">
        <v>169</v>
      </c>
      <c r="E117" s="81" t="s">
        <v>239</v>
      </c>
      <c r="F117" s="81" t="s">
        <v>239</v>
      </c>
      <c r="G117" s="81" t="s">
        <v>68</v>
      </c>
      <c r="H117" s="81">
        <v>25</v>
      </c>
      <c r="I117" s="81">
        <v>44652</v>
      </c>
      <c r="J117" s="81"/>
      <c r="K117" s="81" t="s">
        <v>65</v>
      </c>
      <c r="L117" s="81">
        <v>2.1</v>
      </c>
      <c r="M117" s="81">
        <v>10</v>
      </c>
      <c r="N117" s="81" t="s">
        <v>55</v>
      </c>
      <c r="O117" s="81" t="s">
        <v>275</v>
      </c>
      <c r="P117" s="81" t="s">
        <v>356</v>
      </c>
      <c r="Q117" s="81">
        <v>45031</v>
      </c>
      <c r="R117" s="81" t="s">
        <v>289</v>
      </c>
      <c r="S117" s="81">
        <v>90</v>
      </c>
      <c r="T117" s="81" t="s">
        <v>173</v>
      </c>
      <c r="U117" s="81"/>
      <c r="V117" s="81"/>
      <c r="W117" s="81">
        <v>2600</v>
      </c>
      <c r="X117" s="81">
        <v>120250</v>
      </c>
      <c r="Y117" s="81">
        <v>5460</v>
      </c>
      <c r="Z117" s="81">
        <v>26000</v>
      </c>
      <c r="AA117" s="81" t="s">
        <v>358</v>
      </c>
      <c r="AB117" s="81" t="s">
        <v>183</v>
      </c>
      <c r="AC117" s="81" t="s">
        <v>359</v>
      </c>
      <c r="AD117" s="81" t="s">
        <v>360</v>
      </c>
      <c r="AE117" s="81" t="s">
        <v>361</v>
      </c>
      <c r="AF117" s="81" t="s">
        <v>362</v>
      </c>
      <c r="AG117" s="81" t="s">
        <v>363</v>
      </c>
      <c r="AH117" s="81" t="s">
        <v>209</v>
      </c>
      <c r="AI117" s="81" t="s">
        <v>210</v>
      </c>
      <c r="AJ117" s="81" t="s">
        <v>205</v>
      </c>
      <c r="AK117" s="81">
        <v>45121.25</v>
      </c>
      <c r="AL117" s="81" t="s">
        <v>178</v>
      </c>
      <c r="AM117" s="81" t="s">
        <v>179</v>
      </c>
      <c r="AN117" s="81">
        <v>0</v>
      </c>
      <c r="AO117" s="80">
        <f t="shared" si="1"/>
        <v>0</v>
      </c>
    </row>
    <row r="118" spans="1:41">
      <c r="A118" s="81" t="s">
        <v>25</v>
      </c>
      <c r="B118" s="81" t="s">
        <v>288</v>
      </c>
      <c r="C118" s="81" t="s">
        <v>168</v>
      </c>
      <c r="D118" s="81" t="s">
        <v>169</v>
      </c>
      <c r="E118" s="81" t="s">
        <v>239</v>
      </c>
      <c r="F118" s="81" t="s">
        <v>239</v>
      </c>
      <c r="G118" s="81" t="s">
        <v>68</v>
      </c>
      <c r="H118" s="81">
        <v>25</v>
      </c>
      <c r="I118" s="81">
        <v>44652</v>
      </c>
      <c r="J118" s="81"/>
      <c r="K118" s="81" t="s">
        <v>65</v>
      </c>
      <c r="L118" s="81">
        <v>2.1</v>
      </c>
      <c r="M118" s="81">
        <v>10</v>
      </c>
      <c r="N118" s="81" t="s">
        <v>55</v>
      </c>
      <c r="O118" s="81" t="s">
        <v>275</v>
      </c>
      <c r="P118" s="81" t="s">
        <v>573</v>
      </c>
      <c r="Q118" s="81">
        <v>45062</v>
      </c>
      <c r="R118" s="81" t="s">
        <v>574</v>
      </c>
      <c r="S118" s="81">
        <v>97.7</v>
      </c>
      <c r="T118" s="81" t="s">
        <v>173</v>
      </c>
      <c r="U118" s="81"/>
      <c r="V118" s="81"/>
      <c r="W118" s="81">
        <v>500</v>
      </c>
      <c r="X118" s="81">
        <v>59584.53</v>
      </c>
      <c r="Y118" s="81">
        <v>1050</v>
      </c>
      <c r="Z118" s="81">
        <v>5000</v>
      </c>
      <c r="AA118" s="81" t="s">
        <v>575</v>
      </c>
      <c r="AB118" s="81" t="s">
        <v>188</v>
      </c>
      <c r="AC118" s="81" t="s">
        <v>576</v>
      </c>
      <c r="AD118" s="81" t="s">
        <v>577</v>
      </c>
      <c r="AE118" s="81" t="s">
        <v>578</v>
      </c>
      <c r="AF118" s="81" t="s">
        <v>192</v>
      </c>
      <c r="AG118" s="81" t="s">
        <v>579</v>
      </c>
      <c r="AH118" s="81" t="s">
        <v>191</v>
      </c>
      <c r="AI118" s="81" t="s">
        <v>192</v>
      </c>
      <c r="AJ118" s="81" t="s">
        <v>186</v>
      </c>
      <c r="AK118" s="81">
        <v>45120.25</v>
      </c>
      <c r="AL118" s="81" t="s">
        <v>178</v>
      </c>
      <c r="AM118" s="81" t="s">
        <v>179</v>
      </c>
      <c r="AN118" s="81">
        <v>0</v>
      </c>
      <c r="AO118" s="80">
        <f t="shared" si="1"/>
        <v>0</v>
      </c>
    </row>
    <row r="119" spans="1:41">
      <c r="A119" s="81" t="s">
        <v>25</v>
      </c>
      <c r="B119" s="81" t="s">
        <v>288</v>
      </c>
      <c r="C119" s="81" t="s">
        <v>168</v>
      </c>
      <c r="D119" s="81" t="s">
        <v>169</v>
      </c>
      <c r="E119" s="81" t="s">
        <v>239</v>
      </c>
      <c r="F119" s="81" t="s">
        <v>239</v>
      </c>
      <c r="G119" s="81" t="s">
        <v>68</v>
      </c>
      <c r="H119" s="81">
        <v>25</v>
      </c>
      <c r="I119" s="81">
        <v>44652</v>
      </c>
      <c r="J119" s="81"/>
      <c r="K119" s="81" t="s">
        <v>65</v>
      </c>
      <c r="L119" s="81">
        <v>2.1</v>
      </c>
      <c r="M119" s="81">
        <v>10</v>
      </c>
      <c r="N119" s="81" t="s">
        <v>55</v>
      </c>
      <c r="O119" s="81" t="s">
        <v>275</v>
      </c>
      <c r="P119" s="81" t="s">
        <v>573</v>
      </c>
      <c r="Q119" s="81">
        <v>45062</v>
      </c>
      <c r="R119" s="81" t="s">
        <v>574</v>
      </c>
      <c r="S119" s="81">
        <v>97.7</v>
      </c>
      <c r="T119" s="81" t="s">
        <v>173</v>
      </c>
      <c r="U119" s="81"/>
      <c r="V119" s="81"/>
      <c r="W119" s="81">
        <v>500</v>
      </c>
      <c r="X119" s="81">
        <v>59584.52</v>
      </c>
      <c r="Y119" s="81">
        <v>1050</v>
      </c>
      <c r="Z119" s="81">
        <v>5000</v>
      </c>
      <c r="AA119" s="81" t="s">
        <v>575</v>
      </c>
      <c r="AB119" s="81" t="s">
        <v>188</v>
      </c>
      <c r="AC119" s="81" t="s">
        <v>576</v>
      </c>
      <c r="AD119" s="81" t="s">
        <v>577</v>
      </c>
      <c r="AE119" s="81" t="s">
        <v>578</v>
      </c>
      <c r="AF119" s="81" t="s">
        <v>192</v>
      </c>
      <c r="AG119" s="81" t="s">
        <v>579</v>
      </c>
      <c r="AH119" s="81" t="s">
        <v>191</v>
      </c>
      <c r="AI119" s="81" t="s">
        <v>192</v>
      </c>
      <c r="AJ119" s="81" t="s">
        <v>186</v>
      </c>
      <c r="AK119" s="81">
        <v>45120.25</v>
      </c>
      <c r="AL119" s="81" t="s">
        <v>178</v>
      </c>
      <c r="AM119" s="81" t="s">
        <v>179</v>
      </c>
      <c r="AN119" s="81">
        <v>0</v>
      </c>
      <c r="AO119" s="80">
        <f t="shared" si="1"/>
        <v>0</v>
      </c>
    </row>
    <row r="120" spans="1:41">
      <c r="A120" s="81" t="s">
        <v>25</v>
      </c>
      <c r="B120" s="81" t="s">
        <v>288</v>
      </c>
      <c r="C120" s="81" t="s">
        <v>168</v>
      </c>
      <c r="D120" s="81" t="s">
        <v>169</v>
      </c>
      <c r="E120" s="81" t="s">
        <v>239</v>
      </c>
      <c r="F120" s="81" t="s">
        <v>239</v>
      </c>
      <c r="G120" s="81" t="s">
        <v>68</v>
      </c>
      <c r="H120" s="81">
        <v>25</v>
      </c>
      <c r="I120" s="81">
        <v>44652</v>
      </c>
      <c r="J120" s="81"/>
      <c r="K120" s="81" t="s">
        <v>65</v>
      </c>
      <c r="L120" s="81">
        <v>2.1</v>
      </c>
      <c r="M120" s="81">
        <v>10</v>
      </c>
      <c r="N120" s="81" t="s">
        <v>55</v>
      </c>
      <c r="O120" s="81" t="s">
        <v>275</v>
      </c>
      <c r="P120" s="81" t="s">
        <v>580</v>
      </c>
      <c r="Q120" s="81">
        <v>44957</v>
      </c>
      <c r="R120" s="81" t="s">
        <v>581</v>
      </c>
      <c r="S120" s="81">
        <v>96.1</v>
      </c>
      <c r="T120" s="81" t="s">
        <v>287</v>
      </c>
      <c r="U120" s="81"/>
      <c r="V120" s="81"/>
      <c r="W120" s="81">
        <v>3000</v>
      </c>
      <c r="X120" s="81">
        <v>94105</v>
      </c>
      <c r="Y120" s="81">
        <v>6300</v>
      </c>
      <c r="Z120" s="81">
        <v>30000</v>
      </c>
      <c r="AA120" s="81" t="s">
        <v>582</v>
      </c>
      <c r="AB120" s="81" t="s">
        <v>183</v>
      </c>
      <c r="AC120" s="81" t="s">
        <v>583</v>
      </c>
      <c r="AD120" s="81" t="s">
        <v>584</v>
      </c>
      <c r="AE120" s="81" t="s">
        <v>585</v>
      </c>
      <c r="AF120" s="81" t="s">
        <v>586</v>
      </c>
      <c r="AG120" s="81" t="s">
        <v>587</v>
      </c>
      <c r="AH120" s="81" t="s">
        <v>588</v>
      </c>
      <c r="AI120" s="81" t="s">
        <v>211</v>
      </c>
      <c r="AJ120" s="81" t="s">
        <v>177</v>
      </c>
      <c r="AK120" s="81">
        <v>45120.25</v>
      </c>
      <c r="AL120" s="81" t="s">
        <v>178</v>
      </c>
      <c r="AM120" s="81" t="s">
        <v>179</v>
      </c>
      <c r="AN120" s="81">
        <v>0</v>
      </c>
      <c r="AO120" s="80">
        <f t="shared" si="1"/>
        <v>0</v>
      </c>
    </row>
    <row r="121" spans="1:41">
      <c r="A121" s="81" t="s">
        <v>25</v>
      </c>
      <c r="B121" s="81" t="s">
        <v>288</v>
      </c>
      <c r="C121" s="81" t="s">
        <v>168</v>
      </c>
      <c r="D121" s="81" t="s">
        <v>169</v>
      </c>
      <c r="E121" s="81" t="s">
        <v>239</v>
      </c>
      <c r="F121" s="81" t="s">
        <v>239</v>
      </c>
      <c r="G121" s="81" t="s">
        <v>68</v>
      </c>
      <c r="H121" s="81">
        <v>25</v>
      </c>
      <c r="I121" s="81">
        <v>44652</v>
      </c>
      <c r="J121" s="81"/>
      <c r="K121" s="81" t="s">
        <v>65</v>
      </c>
      <c r="L121" s="81">
        <v>2.1</v>
      </c>
      <c r="M121" s="81">
        <v>10</v>
      </c>
      <c r="N121" s="81" t="s">
        <v>55</v>
      </c>
      <c r="O121" s="81" t="s">
        <v>275</v>
      </c>
      <c r="P121" s="81" t="s">
        <v>589</v>
      </c>
      <c r="Q121" s="81">
        <v>44958</v>
      </c>
      <c r="R121" s="81" t="s">
        <v>590</v>
      </c>
      <c r="S121" s="81">
        <v>97.1</v>
      </c>
      <c r="T121" s="81" t="s">
        <v>591</v>
      </c>
      <c r="U121" s="81"/>
      <c r="V121" s="81"/>
      <c r="W121" s="81">
        <v>1250</v>
      </c>
      <c r="X121" s="81">
        <v>27969</v>
      </c>
      <c r="Y121" s="81">
        <v>2625</v>
      </c>
      <c r="Z121" s="81">
        <v>12500</v>
      </c>
      <c r="AA121" s="81" t="s">
        <v>592</v>
      </c>
      <c r="AB121" s="81" t="s">
        <v>188</v>
      </c>
      <c r="AC121" s="81" t="s">
        <v>593</v>
      </c>
      <c r="AD121" s="81" t="s">
        <v>594</v>
      </c>
      <c r="AE121" s="81" t="s">
        <v>595</v>
      </c>
      <c r="AF121" s="81" t="s">
        <v>193</v>
      </c>
      <c r="AG121" s="81" t="s">
        <v>194</v>
      </c>
      <c r="AH121" s="81" t="s">
        <v>195</v>
      </c>
      <c r="AI121" s="81" t="s">
        <v>192</v>
      </c>
      <c r="AJ121" s="81" t="s">
        <v>186</v>
      </c>
      <c r="AK121" s="81">
        <v>45121.125</v>
      </c>
      <c r="AL121" s="81" t="s">
        <v>178</v>
      </c>
      <c r="AM121" s="81" t="s">
        <v>179</v>
      </c>
      <c r="AN121" s="81">
        <v>0</v>
      </c>
      <c r="AO121" s="80">
        <f t="shared" si="1"/>
        <v>0</v>
      </c>
    </row>
    <row r="122" spans="1:41">
      <c r="A122" s="81" t="s">
        <v>25</v>
      </c>
      <c r="B122" s="81" t="s">
        <v>288</v>
      </c>
      <c r="C122" s="81" t="s">
        <v>168</v>
      </c>
      <c r="D122" s="81" t="s">
        <v>169</v>
      </c>
      <c r="E122" s="81" t="s">
        <v>239</v>
      </c>
      <c r="F122" s="81" t="s">
        <v>239</v>
      </c>
      <c r="G122" s="81" t="s">
        <v>68</v>
      </c>
      <c r="H122" s="81">
        <v>25</v>
      </c>
      <c r="I122" s="81">
        <v>44652</v>
      </c>
      <c r="J122" s="81"/>
      <c r="K122" s="81" t="s">
        <v>65</v>
      </c>
      <c r="L122" s="81">
        <v>2.1</v>
      </c>
      <c r="M122" s="81">
        <v>10</v>
      </c>
      <c r="N122" s="81" t="s">
        <v>55</v>
      </c>
      <c r="O122" s="81" t="s">
        <v>275</v>
      </c>
      <c r="P122" s="81" t="s">
        <v>589</v>
      </c>
      <c r="Q122" s="81">
        <v>44958</v>
      </c>
      <c r="R122" s="81" t="s">
        <v>590</v>
      </c>
      <c r="S122" s="81">
        <v>97.1</v>
      </c>
      <c r="T122" s="81" t="s">
        <v>591</v>
      </c>
      <c r="U122" s="81"/>
      <c r="V122" s="81"/>
      <c r="W122" s="81">
        <v>1250</v>
      </c>
      <c r="X122" s="81">
        <v>27969</v>
      </c>
      <c r="Y122" s="81">
        <v>2625</v>
      </c>
      <c r="Z122" s="81">
        <v>12500</v>
      </c>
      <c r="AA122" s="81" t="s">
        <v>592</v>
      </c>
      <c r="AB122" s="81" t="s">
        <v>188</v>
      </c>
      <c r="AC122" s="81" t="s">
        <v>593</v>
      </c>
      <c r="AD122" s="81" t="s">
        <v>594</v>
      </c>
      <c r="AE122" s="81" t="s">
        <v>595</v>
      </c>
      <c r="AF122" s="81" t="s">
        <v>193</v>
      </c>
      <c r="AG122" s="81" t="s">
        <v>194</v>
      </c>
      <c r="AH122" s="81" t="s">
        <v>195</v>
      </c>
      <c r="AI122" s="81" t="s">
        <v>192</v>
      </c>
      <c r="AJ122" s="81" t="s">
        <v>186</v>
      </c>
      <c r="AK122" s="81">
        <v>45121.125</v>
      </c>
      <c r="AL122" s="81" t="s">
        <v>178</v>
      </c>
      <c r="AM122" s="81" t="s">
        <v>179</v>
      </c>
      <c r="AN122" s="81">
        <v>0</v>
      </c>
      <c r="AO122" s="80">
        <f t="shared" si="1"/>
        <v>0</v>
      </c>
    </row>
    <row r="123" spans="1:41">
      <c r="A123" s="81" t="s">
        <v>25</v>
      </c>
      <c r="B123" s="81" t="s">
        <v>288</v>
      </c>
      <c r="C123" s="81" t="s">
        <v>168</v>
      </c>
      <c r="D123" s="81" t="s">
        <v>169</v>
      </c>
      <c r="E123" s="81" t="s">
        <v>239</v>
      </c>
      <c r="F123" s="81" t="s">
        <v>239</v>
      </c>
      <c r="G123" s="81" t="s">
        <v>68</v>
      </c>
      <c r="H123" s="81">
        <v>25</v>
      </c>
      <c r="I123" s="81">
        <v>44652</v>
      </c>
      <c r="J123" s="81"/>
      <c r="K123" s="81" t="s">
        <v>65</v>
      </c>
      <c r="L123" s="81">
        <v>2.1</v>
      </c>
      <c r="M123" s="81">
        <v>10</v>
      </c>
      <c r="N123" s="81" t="s">
        <v>55</v>
      </c>
      <c r="O123" s="81" t="s">
        <v>275</v>
      </c>
      <c r="P123" s="81" t="s">
        <v>596</v>
      </c>
      <c r="Q123" s="81">
        <v>44957</v>
      </c>
      <c r="R123" s="81" t="s">
        <v>597</v>
      </c>
      <c r="S123" s="81">
        <v>96</v>
      </c>
      <c r="T123" s="81" t="s">
        <v>173</v>
      </c>
      <c r="U123" s="81"/>
      <c r="V123" s="81"/>
      <c r="W123" s="81">
        <v>1000</v>
      </c>
      <c r="X123" s="81">
        <v>21412</v>
      </c>
      <c r="Y123" s="81">
        <v>2100</v>
      </c>
      <c r="Z123" s="81">
        <v>10000</v>
      </c>
      <c r="AA123" s="81" t="s">
        <v>379</v>
      </c>
      <c r="AB123" s="81" t="s">
        <v>183</v>
      </c>
      <c r="AC123" s="81" t="s">
        <v>380</v>
      </c>
      <c r="AD123" s="81" t="s">
        <v>381</v>
      </c>
      <c r="AE123" s="81" t="s">
        <v>382</v>
      </c>
      <c r="AF123" s="81" t="s">
        <v>216</v>
      </c>
      <c r="AG123" s="81" t="s">
        <v>218</v>
      </c>
      <c r="AH123" s="81" t="s">
        <v>217</v>
      </c>
      <c r="AI123" s="81" t="s">
        <v>182</v>
      </c>
      <c r="AJ123" s="81" t="s">
        <v>177</v>
      </c>
      <c r="AK123" s="81">
        <v>45003.125</v>
      </c>
      <c r="AL123" s="81" t="s">
        <v>178</v>
      </c>
      <c r="AM123" s="81" t="s">
        <v>179</v>
      </c>
      <c r="AN123" s="81">
        <v>0</v>
      </c>
      <c r="AO123" s="80">
        <f t="shared" si="1"/>
        <v>0</v>
      </c>
    </row>
    <row r="124" spans="1:41">
      <c r="A124" s="81" t="s">
        <v>292</v>
      </c>
      <c r="B124" s="81" t="s">
        <v>293</v>
      </c>
      <c r="C124" s="81" t="s">
        <v>223</v>
      </c>
      <c r="D124" s="81" t="s">
        <v>169</v>
      </c>
      <c r="E124" s="81" t="s">
        <v>292</v>
      </c>
      <c r="F124" s="81" t="s">
        <v>224</v>
      </c>
      <c r="G124" s="81" t="s">
        <v>598</v>
      </c>
      <c r="H124" s="81">
        <v>30</v>
      </c>
      <c r="I124" s="81"/>
      <c r="J124" s="81"/>
      <c r="K124" s="81" t="s">
        <v>173</v>
      </c>
      <c r="L124" s="81">
        <v>0</v>
      </c>
      <c r="M124" s="81">
        <v>0</v>
      </c>
      <c r="N124" s="81" t="s">
        <v>21</v>
      </c>
      <c r="O124" s="81" t="s">
        <v>173</v>
      </c>
      <c r="P124" s="81" t="s">
        <v>201</v>
      </c>
      <c r="Q124" s="81">
        <v>44875</v>
      </c>
      <c r="R124" s="81" t="s">
        <v>173</v>
      </c>
      <c r="S124" s="81"/>
      <c r="T124" s="81" t="s">
        <v>173</v>
      </c>
      <c r="U124" s="81">
        <v>0</v>
      </c>
      <c r="V124" s="81">
        <v>13</v>
      </c>
      <c r="W124" s="81">
        <v>1</v>
      </c>
      <c r="X124" s="81">
        <v>6593.94</v>
      </c>
      <c r="Y124" s="81">
        <v>497</v>
      </c>
      <c r="Z124" s="81">
        <v>2447</v>
      </c>
      <c r="AA124" s="81" t="s">
        <v>279</v>
      </c>
      <c r="AB124" s="81" t="s">
        <v>174</v>
      </c>
      <c r="AC124" s="81" t="s">
        <v>599</v>
      </c>
      <c r="AD124" s="81" t="s">
        <v>279</v>
      </c>
      <c r="AE124" s="81" t="s">
        <v>280</v>
      </c>
      <c r="AF124" s="81" t="s">
        <v>175</v>
      </c>
      <c r="AG124" s="81" t="s">
        <v>281</v>
      </c>
      <c r="AH124" s="81" t="s">
        <v>175</v>
      </c>
      <c r="AI124" s="81" t="s">
        <v>175</v>
      </c>
      <c r="AJ124" s="81" t="s">
        <v>177</v>
      </c>
      <c r="AK124" s="81">
        <v>45063.125</v>
      </c>
      <c r="AL124" s="81" t="s">
        <v>178</v>
      </c>
      <c r="AM124" s="81" t="s">
        <v>179</v>
      </c>
      <c r="AN124" s="81">
        <v>15613</v>
      </c>
      <c r="AO124" s="80">
        <f t="shared" si="1"/>
        <v>-497</v>
      </c>
    </row>
    <row r="125" spans="1:41">
      <c r="A125" s="81" t="s">
        <v>292</v>
      </c>
      <c r="B125" s="81" t="s">
        <v>293</v>
      </c>
      <c r="C125" s="81" t="s">
        <v>223</v>
      </c>
      <c r="D125" s="81" t="s">
        <v>169</v>
      </c>
      <c r="E125" s="81" t="s">
        <v>292</v>
      </c>
      <c r="F125" s="81" t="s">
        <v>224</v>
      </c>
      <c r="G125" s="81" t="s">
        <v>600</v>
      </c>
      <c r="H125" s="81">
        <v>30</v>
      </c>
      <c r="I125" s="81"/>
      <c r="J125" s="81"/>
      <c r="K125" s="81" t="s">
        <v>173</v>
      </c>
      <c r="L125" s="81">
        <v>0</v>
      </c>
      <c r="M125" s="81">
        <v>0</v>
      </c>
      <c r="N125" s="81" t="s">
        <v>21</v>
      </c>
      <c r="O125" s="81" t="s">
        <v>173</v>
      </c>
      <c r="P125" s="81" t="s">
        <v>601</v>
      </c>
      <c r="Q125" s="81">
        <v>44953</v>
      </c>
      <c r="R125" s="81" t="s">
        <v>173</v>
      </c>
      <c r="S125" s="81"/>
      <c r="T125" s="81" t="s">
        <v>173</v>
      </c>
      <c r="U125" s="81">
        <v>11</v>
      </c>
      <c r="V125" s="81">
        <v>49</v>
      </c>
      <c r="W125" s="81">
        <v>1</v>
      </c>
      <c r="X125" s="81">
        <v>1637.5</v>
      </c>
      <c r="Y125" s="81">
        <v>66</v>
      </c>
      <c r="Z125" s="81">
        <v>527</v>
      </c>
      <c r="AA125" s="81" t="s">
        <v>602</v>
      </c>
      <c r="AB125" s="81" t="s">
        <v>183</v>
      </c>
      <c r="AC125" s="81" t="s">
        <v>603</v>
      </c>
      <c r="AD125" s="81" t="s">
        <v>604</v>
      </c>
      <c r="AE125" s="81" t="s">
        <v>605</v>
      </c>
      <c r="AF125" s="81" t="s">
        <v>214</v>
      </c>
      <c r="AG125" s="81" t="s">
        <v>606</v>
      </c>
      <c r="AH125" s="81" t="s">
        <v>191</v>
      </c>
      <c r="AI125" s="81" t="s">
        <v>192</v>
      </c>
      <c r="AJ125" s="81" t="s">
        <v>186</v>
      </c>
      <c r="AK125" s="81">
        <v>45063.125</v>
      </c>
      <c r="AL125" s="81" t="s">
        <v>178</v>
      </c>
      <c r="AM125" s="81" t="s">
        <v>179</v>
      </c>
      <c r="AN125" s="81">
        <v>975</v>
      </c>
      <c r="AO125" s="80">
        <f t="shared" si="1"/>
        <v>-66</v>
      </c>
    </row>
    <row r="126" spans="1:41">
      <c r="A126" s="81" t="s">
        <v>292</v>
      </c>
      <c r="B126" s="81" t="s">
        <v>293</v>
      </c>
      <c r="C126" s="81" t="s">
        <v>223</v>
      </c>
      <c r="D126" s="81" t="s">
        <v>169</v>
      </c>
      <c r="E126" s="81" t="s">
        <v>292</v>
      </c>
      <c r="F126" s="81" t="s">
        <v>224</v>
      </c>
      <c r="G126" s="81" t="s">
        <v>607</v>
      </c>
      <c r="H126" s="81">
        <v>30</v>
      </c>
      <c r="I126" s="81"/>
      <c r="J126" s="81"/>
      <c r="K126" s="81" t="s">
        <v>173</v>
      </c>
      <c r="L126" s="81">
        <v>0</v>
      </c>
      <c r="M126" s="81">
        <v>0</v>
      </c>
      <c r="N126" s="81" t="s">
        <v>21</v>
      </c>
      <c r="O126" s="81" t="s">
        <v>173</v>
      </c>
      <c r="P126" s="81" t="s">
        <v>601</v>
      </c>
      <c r="Q126" s="81">
        <v>44953</v>
      </c>
      <c r="R126" s="81" t="s">
        <v>173</v>
      </c>
      <c r="S126" s="81"/>
      <c r="T126" s="81" t="s">
        <v>173</v>
      </c>
      <c r="U126" s="81">
        <v>0</v>
      </c>
      <c r="V126" s="81">
        <v>21</v>
      </c>
      <c r="W126" s="81">
        <v>1</v>
      </c>
      <c r="X126" s="81">
        <v>1637.5</v>
      </c>
      <c r="Y126" s="81">
        <v>350</v>
      </c>
      <c r="Z126" s="81">
        <v>2300</v>
      </c>
      <c r="AA126" s="81" t="s">
        <v>602</v>
      </c>
      <c r="AB126" s="81" t="s">
        <v>183</v>
      </c>
      <c r="AC126" s="81" t="s">
        <v>603</v>
      </c>
      <c r="AD126" s="81" t="s">
        <v>604</v>
      </c>
      <c r="AE126" s="81" t="s">
        <v>605</v>
      </c>
      <c r="AF126" s="81" t="s">
        <v>214</v>
      </c>
      <c r="AG126" s="81" t="s">
        <v>606</v>
      </c>
      <c r="AH126" s="81" t="s">
        <v>191</v>
      </c>
      <c r="AI126" s="81" t="s">
        <v>192</v>
      </c>
      <c r="AJ126" s="81" t="s">
        <v>186</v>
      </c>
      <c r="AK126" s="81">
        <v>45063.125</v>
      </c>
      <c r="AL126" s="81" t="s">
        <v>178</v>
      </c>
      <c r="AM126" s="81" t="s">
        <v>179</v>
      </c>
      <c r="AN126" s="81">
        <v>2300</v>
      </c>
      <c r="AO126" s="80">
        <f t="shared" si="1"/>
        <v>-350</v>
      </c>
    </row>
    <row r="127" spans="1:41">
      <c r="A127" s="81" t="s">
        <v>76</v>
      </c>
      <c r="B127" s="81" t="s">
        <v>291</v>
      </c>
      <c r="C127" s="81" t="s">
        <v>168</v>
      </c>
      <c r="D127" s="81" t="s">
        <v>169</v>
      </c>
      <c r="E127" s="81" t="s">
        <v>241</v>
      </c>
      <c r="F127" s="81" t="s">
        <v>241</v>
      </c>
      <c r="G127" s="81" t="s">
        <v>72</v>
      </c>
      <c r="H127" s="81">
        <v>30</v>
      </c>
      <c r="I127" s="81">
        <v>44652</v>
      </c>
      <c r="J127" s="81"/>
      <c r="K127" s="81" t="s">
        <v>77</v>
      </c>
      <c r="L127" s="81">
        <v>0.19</v>
      </c>
      <c r="M127" s="81">
        <v>2</v>
      </c>
      <c r="N127" s="81" t="s">
        <v>78</v>
      </c>
      <c r="O127" s="81" t="s">
        <v>275</v>
      </c>
      <c r="P127" s="81" t="s">
        <v>201</v>
      </c>
      <c r="Q127" s="81">
        <v>44985</v>
      </c>
      <c r="R127" s="81" t="s">
        <v>173</v>
      </c>
      <c r="S127" s="81"/>
      <c r="T127" s="81" t="s">
        <v>173</v>
      </c>
      <c r="U127" s="81">
        <v>0</v>
      </c>
      <c r="V127" s="81">
        <v>19</v>
      </c>
      <c r="W127" s="81">
        <v>2730</v>
      </c>
      <c r="X127" s="81">
        <v>6848</v>
      </c>
      <c r="Y127" s="81">
        <v>518.70000000000005</v>
      </c>
      <c r="Z127" s="81">
        <v>5460</v>
      </c>
      <c r="AA127" s="81" t="s">
        <v>313</v>
      </c>
      <c r="AB127" s="81" t="s">
        <v>174</v>
      </c>
      <c r="AC127" s="81" t="s">
        <v>314</v>
      </c>
      <c r="AD127" s="81" t="s">
        <v>313</v>
      </c>
      <c r="AE127" s="81" t="s">
        <v>315</v>
      </c>
      <c r="AF127" s="81" t="s">
        <v>175</v>
      </c>
      <c r="AG127" s="81" t="s">
        <v>176</v>
      </c>
      <c r="AH127" s="81" t="s">
        <v>175</v>
      </c>
      <c r="AI127" s="81" t="s">
        <v>175</v>
      </c>
      <c r="AJ127" s="81" t="s">
        <v>177</v>
      </c>
      <c r="AK127" s="81">
        <v>45072.125</v>
      </c>
      <c r="AL127" s="81" t="s">
        <v>178</v>
      </c>
      <c r="AM127" s="81" t="s">
        <v>179</v>
      </c>
      <c r="AN127" s="81">
        <v>0</v>
      </c>
      <c r="AO127" s="80">
        <f t="shared" si="1"/>
        <v>0</v>
      </c>
    </row>
    <row r="128" spans="1:41">
      <c r="A128" s="81" t="s">
        <v>69</v>
      </c>
      <c r="B128" s="81" t="s">
        <v>118</v>
      </c>
      <c r="C128" s="81" t="s">
        <v>168</v>
      </c>
      <c r="D128" s="81" t="s">
        <v>169</v>
      </c>
      <c r="E128" s="81" t="s">
        <v>241</v>
      </c>
      <c r="F128" s="81" t="s">
        <v>241</v>
      </c>
      <c r="G128" s="81" t="s">
        <v>27</v>
      </c>
      <c r="H128" s="81">
        <v>30</v>
      </c>
      <c r="I128" s="81">
        <v>43515</v>
      </c>
      <c r="J128" s="81"/>
      <c r="K128" s="81" t="s">
        <v>70</v>
      </c>
      <c r="L128" s="81">
        <v>0.31</v>
      </c>
      <c r="M128" s="81">
        <v>2</v>
      </c>
      <c r="N128" s="81" t="s">
        <v>71</v>
      </c>
      <c r="O128" s="81" t="s">
        <v>171</v>
      </c>
      <c r="P128" s="81" t="s">
        <v>201</v>
      </c>
      <c r="Q128" s="81">
        <v>44985</v>
      </c>
      <c r="R128" s="81" t="s">
        <v>173</v>
      </c>
      <c r="S128" s="81"/>
      <c r="T128" s="81" t="s">
        <v>173</v>
      </c>
      <c r="U128" s="81">
        <v>0</v>
      </c>
      <c r="V128" s="81">
        <v>30</v>
      </c>
      <c r="W128" s="81">
        <v>4420</v>
      </c>
      <c r="X128" s="81">
        <v>10272</v>
      </c>
      <c r="Y128" s="81">
        <v>1370.2</v>
      </c>
      <c r="Z128" s="81">
        <v>8840</v>
      </c>
      <c r="AA128" s="81" t="s">
        <v>313</v>
      </c>
      <c r="AB128" s="81" t="s">
        <v>174</v>
      </c>
      <c r="AC128" s="81" t="s">
        <v>314</v>
      </c>
      <c r="AD128" s="81" t="s">
        <v>313</v>
      </c>
      <c r="AE128" s="81" t="s">
        <v>315</v>
      </c>
      <c r="AF128" s="81" t="s">
        <v>175</v>
      </c>
      <c r="AG128" s="81" t="s">
        <v>176</v>
      </c>
      <c r="AH128" s="81" t="s">
        <v>175</v>
      </c>
      <c r="AI128" s="81" t="s">
        <v>175</v>
      </c>
      <c r="AJ128" s="81" t="s">
        <v>177</v>
      </c>
      <c r="AK128" s="81">
        <v>45072.125</v>
      </c>
      <c r="AL128" s="81" t="s">
        <v>178</v>
      </c>
      <c r="AM128" s="81" t="s">
        <v>179</v>
      </c>
      <c r="AN128" s="81">
        <v>0</v>
      </c>
      <c r="AO128" s="80">
        <f t="shared" si="1"/>
        <v>0</v>
      </c>
    </row>
    <row r="129" spans="1:41">
      <c r="A129" s="81" t="s">
        <v>79</v>
      </c>
      <c r="B129" s="81" t="s">
        <v>119</v>
      </c>
      <c r="C129" s="81" t="s">
        <v>168</v>
      </c>
      <c r="D129" s="81" t="s">
        <v>169</v>
      </c>
      <c r="E129" s="81" t="s">
        <v>241</v>
      </c>
      <c r="F129" s="81" t="s">
        <v>241</v>
      </c>
      <c r="G129" s="81" t="s">
        <v>27</v>
      </c>
      <c r="H129" s="81">
        <v>30</v>
      </c>
      <c r="I129" s="81">
        <v>43515</v>
      </c>
      <c r="J129" s="81"/>
      <c r="K129" s="81" t="s">
        <v>80</v>
      </c>
      <c r="L129" s="81">
        <v>0.32</v>
      </c>
      <c r="M129" s="81">
        <v>2.5</v>
      </c>
      <c r="N129" s="81" t="s">
        <v>71</v>
      </c>
      <c r="O129" s="81" t="s">
        <v>171</v>
      </c>
      <c r="P129" s="81" t="s">
        <v>269</v>
      </c>
      <c r="Q129" s="81">
        <v>45030</v>
      </c>
      <c r="R129" s="81" t="s">
        <v>173</v>
      </c>
      <c r="S129" s="81"/>
      <c r="T129" s="81" t="s">
        <v>173</v>
      </c>
      <c r="U129" s="81">
        <v>0</v>
      </c>
      <c r="V129" s="81">
        <v>49</v>
      </c>
      <c r="W129" s="81">
        <v>12000</v>
      </c>
      <c r="X129" s="81">
        <v>31036.2</v>
      </c>
      <c r="Y129" s="81">
        <v>3840</v>
      </c>
      <c r="Z129" s="81">
        <v>30000</v>
      </c>
      <c r="AA129" s="81" t="s">
        <v>270</v>
      </c>
      <c r="AB129" s="81" t="s">
        <v>188</v>
      </c>
      <c r="AC129" s="81" t="s">
        <v>316</v>
      </c>
      <c r="AD129" s="81" t="s">
        <v>270</v>
      </c>
      <c r="AE129" s="81" t="s">
        <v>271</v>
      </c>
      <c r="AF129" s="81" t="s">
        <v>225</v>
      </c>
      <c r="AG129" s="81" t="s">
        <v>240</v>
      </c>
      <c r="AH129" s="81" t="s">
        <v>226</v>
      </c>
      <c r="AI129" s="81" t="s">
        <v>192</v>
      </c>
      <c r="AJ129" s="81" t="s">
        <v>186</v>
      </c>
      <c r="AK129" s="81">
        <v>45072.125</v>
      </c>
      <c r="AL129" s="81" t="s">
        <v>178</v>
      </c>
      <c r="AM129" s="81" t="s">
        <v>179</v>
      </c>
      <c r="AN129" s="81">
        <v>0</v>
      </c>
      <c r="AO129" s="80">
        <f t="shared" si="1"/>
        <v>0</v>
      </c>
    </row>
    <row r="130" spans="1:41">
      <c r="A130" s="81" t="s">
        <v>76</v>
      </c>
      <c r="B130" s="81" t="s">
        <v>291</v>
      </c>
      <c r="C130" s="81" t="s">
        <v>168</v>
      </c>
      <c r="D130" s="81" t="s">
        <v>169</v>
      </c>
      <c r="E130" s="81" t="s">
        <v>241</v>
      </c>
      <c r="F130" s="81" t="s">
        <v>241</v>
      </c>
      <c r="G130" s="81" t="s">
        <v>72</v>
      </c>
      <c r="H130" s="81">
        <v>30</v>
      </c>
      <c r="I130" s="81">
        <v>44652</v>
      </c>
      <c r="J130" s="81"/>
      <c r="K130" s="81" t="s">
        <v>77</v>
      </c>
      <c r="L130" s="81">
        <v>0.19</v>
      </c>
      <c r="M130" s="81">
        <v>2</v>
      </c>
      <c r="N130" s="81" t="s">
        <v>78</v>
      </c>
      <c r="O130" s="81" t="s">
        <v>275</v>
      </c>
      <c r="P130" s="81" t="s">
        <v>269</v>
      </c>
      <c r="Q130" s="81">
        <v>45030</v>
      </c>
      <c r="R130" s="81" t="s">
        <v>173</v>
      </c>
      <c r="S130" s="81"/>
      <c r="T130" s="81" t="s">
        <v>173</v>
      </c>
      <c r="U130" s="81">
        <v>0</v>
      </c>
      <c r="V130" s="81">
        <v>21</v>
      </c>
      <c r="W130" s="81">
        <v>6100</v>
      </c>
      <c r="X130" s="81">
        <v>13702.2</v>
      </c>
      <c r="Y130" s="81">
        <v>1159</v>
      </c>
      <c r="Z130" s="81">
        <v>12200</v>
      </c>
      <c r="AA130" s="81" t="s">
        <v>270</v>
      </c>
      <c r="AB130" s="81" t="s">
        <v>188</v>
      </c>
      <c r="AC130" s="81" t="s">
        <v>316</v>
      </c>
      <c r="AD130" s="81" t="s">
        <v>270</v>
      </c>
      <c r="AE130" s="81" t="s">
        <v>271</v>
      </c>
      <c r="AF130" s="81" t="s">
        <v>225</v>
      </c>
      <c r="AG130" s="81" t="s">
        <v>240</v>
      </c>
      <c r="AH130" s="81" t="s">
        <v>226</v>
      </c>
      <c r="AI130" s="81" t="s">
        <v>192</v>
      </c>
      <c r="AJ130" s="81" t="s">
        <v>186</v>
      </c>
      <c r="AK130" s="81">
        <v>45072.125</v>
      </c>
      <c r="AL130" s="81" t="s">
        <v>178</v>
      </c>
      <c r="AM130" s="81" t="s">
        <v>179</v>
      </c>
      <c r="AN130" s="81">
        <v>0</v>
      </c>
      <c r="AO130" s="80">
        <f t="shared" si="1"/>
        <v>0</v>
      </c>
    </row>
    <row r="131" spans="1:41">
      <c r="A131" s="81" t="s">
        <v>69</v>
      </c>
      <c r="B131" s="81" t="s">
        <v>118</v>
      </c>
      <c r="C131" s="81" t="s">
        <v>168</v>
      </c>
      <c r="D131" s="81" t="s">
        <v>169</v>
      </c>
      <c r="E131" s="81" t="s">
        <v>241</v>
      </c>
      <c r="F131" s="81" t="s">
        <v>241</v>
      </c>
      <c r="G131" s="81" t="s">
        <v>27</v>
      </c>
      <c r="H131" s="81">
        <v>30</v>
      </c>
      <c r="I131" s="81">
        <v>43515</v>
      </c>
      <c r="J131" s="81"/>
      <c r="K131" s="81" t="s">
        <v>70</v>
      </c>
      <c r="L131" s="81">
        <v>0.31</v>
      </c>
      <c r="M131" s="81">
        <v>2</v>
      </c>
      <c r="N131" s="81" t="s">
        <v>71</v>
      </c>
      <c r="O131" s="81" t="s">
        <v>171</v>
      </c>
      <c r="P131" s="81" t="s">
        <v>608</v>
      </c>
      <c r="Q131" s="81">
        <v>44592</v>
      </c>
      <c r="R131" s="81" t="s">
        <v>173</v>
      </c>
      <c r="S131" s="81"/>
      <c r="T131" s="81" t="s">
        <v>173</v>
      </c>
      <c r="U131" s="81">
        <v>0</v>
      </c>
      <c r="V131" s="81">
        <v>30</v>
      </c>
      <c r="W131" s="81">
        <v>1300</v>
      </c>
      <c r="X131" s="81">
        <v>4522.8999999999996</v>
      </c>
      <c r="Y131" s="81">
        <v>403</v>
      </c>
      <c r="Z131" s="81">
        <v>2600</v>
      </c>
      <c r="AA131" s="81" t="s">
        <v>432</v>
      </c>
      <c r="AB131" s="81" t="s">
        <v>208</v>
      </c>
      <c r="AC131" s="81" t="s">
        <v>433</v>
      </c>
      <c r="AD131" s="81" t="s">
        <v>434</v>
      </c>
      <c r="AE131" s="81" t="s">
        <v>435</v>
      </c>
      <c r="AF131" s="81" t="s">
        <v>436</v>
      </c>
      <c r="AG131" s="81" t="s">
        <v>437</v>
      </c>
      <c r="AH131" s="81" t="s">
        <v>209</v>
      </c>
      <c r="AI131" s="81" t="s">
        <v>210</v>
      </c>
      <c r="AJ131" s="81" t="s">
        <v>205</v>
      </c>
      <c r="AK131" s="81">
        <v>45063.125</v>
      </c>
      <c r="AL131" s="81" t="s">
        <v>178</v>
      </c>
      <c r="AM131" s="81" t="s">
        <v>179</v>
      </c>
      <c r="AN131" s="81">
        <v>0</v>
      </c>
      <c r="AO131" s="80">
        <f t="shared" ref="AO131:AO194" si="2">(L131*W131)-Y131</f>
        <v>0</v>
      </c>
    </row>
    <row r="132" spans="1:41">
      <c r="A132" s="81" t="s">
        <v>69</v>
      </c>
      <c r="B132" s="81" t="s">
        <v>118</v>
      </c>
      <c r="C132" s="81" t="s">
        <v>168</v>
      </c>
      <c r="D132" s="81" t="s">
        <v>169</v>
      </c>
      <c r="E132" s="81" t="s">
        <v>241</v>
      </c>
      <c r="F132" s="81" t="s">
        <v>241</v>
      </c>
      <c r="G132" s="81" t="s">
        <v>27</v>
      </c>
      <c r="H132" s="81">
        <v>30</v>
      </c>
      <c r="I132" s="81">
        <v>43515</v>
      </c>
      <c r="J132" s="81"/>
      <c r="K132" s="81" t="s">
        <v>70</v>
      </c>
      <c r="L132" s="81">
        <v>0.31</v>
      </c>
      <c r="M132" s="81">
        <v>2</v>
      </c>
      <c r="N132" s="81" t="s">
        <v>71</v>
      </c>
      <c r="O132" s="81" t="s">
        <v>171</v>
      </c>
      <c r="P132" s="81" t="s">
        <v>609</v>
      </c>
      <c r="Q132" s="81">
        <v>44865</v>
      </c>
      <c r="R132" s="81" t="s">
        <v>173</v>
      </c>
      <c r="S132" s="81"/>
      <c r="T132" s="81" t="s">
        <v>173</v>
      </c>
      <c r="U132" s="81">
        <v>0</v>
      </c>
      <c r="V132" s="81">
        <v>32</v>
      </c>
      <c r="W132" s="81">
        <v>84000</v>
      </c>
      <c r="X132" s="81">
        <v>383089.4</v>
      </c>
      <c r="Y132" s="81">
        <v>26040</v>
      </c>
      <c r="Z132" s="81">
        <v>168000</v>
      </c>
      <c r="AA132" s="81" t="s">
        <v>527</v>
      </c>
      <c r="AB132" s="81" t="s">
        <v>202</v>
      </c>
      <c r="AC132" s="81" t="s">
        <v>528</v>
      </c>
      <c r="AD132" s="81" t="s">
        <v>529</v>
      </c>
      <c r="AE132" s="81" t="s">
        <v>530</v>
      </c>
      <c r="AF132" s="81" t="s">
        <v>206</v>
      </c>
      <c r="AG132" s="81" t="s">
        <v>531</v>
      </c>
      <c r="AH132" s="81" t="s">
        <v>206</v>
      </c>
      <c r="AI132" s="81" t="s">
        <v>206</v>
      </c>
      <c r="AJ132" s="81" t="s">
        <v>177</v>
      </c>
      <c r="AK132" s="81">
        <v>45057.125</v>
      </c>
      <c r="AL132" s="81" t="s">
        <v>233</v>
      </c>
      <c r="AM132" s="81" t="s">
        <v>179</v>
      </c>
      <c r="AN132" s="81">
        <v>0</v>
      </c>
      <c r="AO132" s="80">
        <f t="shared" si="2"/>
        <v>0</v>
      </c>
    </row>
    <row r="133" spans="1:41">
      <c r="A133" s="81" t="s">
        <v>69</v>
      </c>
      <c r="B133" s="81" t="s">
        <v>118</v>
      </c>
      <c r="C133" s="81" t="s">
        <v>168</v>
      </c>
      <c r="D133" s="81" t="s">
        <v>169</v>
      </c>
      <c r="E133" s="81" t="s">
        <v>241</v>
      </c>
      <c r="F133" s="81" t="s">
        <v>241</v>
      </c>
      <c r="G133" s="81" t="s">
        <v>27</v>
      </c>
      <c r="H133" s="81">
        <v>30</v>
      </c>
      <c r="I133" s="81">
        <v>43515</v>
      </c>
      <c r="J133" s="81"/>
      <c r="K133" s="81" t="s">
        <v>70</v>
      </c>
      <c r="L133" s="81">
        <v>0.31</v>
      </c>
      <c r="M133" s="81">
        <v>2</v>
      </c>
      <c r="N133" s="81" t="s">
        <v>71</v>
      </c>
      <c r="O133" s="81" t="s">
        <v>171</v>
      </c>
      <c r="P133" s="81" t="s">
        <v>244</v>
      </c>
      <c r="Q133" s="81">
        <v>44937</v>
      </c>
      <c r="R133" s="81" t="s">
        <v>173</v>
      </c>
      <c r="S133" s="81"/>
      <c r="T133" s="81" t="s">
        <v>173</v>
      </c>
      <c r="U133" s="81">
        <v>0</v>
      </c>
      <c r="V133" s="81">
        <v>38</v>
      </c>
      <c r="W133" s="81">
        <v>8240</v>
      </c>
      <c r="X133" s="81">
        <v>18150</v>
      </c>
      <c r="Y133" s="81">
        <v>2554.4</v>
      </c>
      <c r="Z133" s="81">
        <v>16480</v>
      </c>
      <c r="AA133" s="81" t="s">
        <v>610</v>
      </c>
      <c r="AB133" s="81" t="s">
        <v>188</v>
      </c>
      <c r="AC133" s="81" t="s">
        <v>611</v>
      </c>
      <c r="AD133" s="81" t="s">
        <v>612</v>
      </c>
      <c r="AE133" s="81" t="s">
        <v>613</v>
      </c>
      <c r="AF133" s="81" t="s">
        <v>185</v>
      </c>
      <c r="AG133" s="81" t="s">
        <v>488</v>
      </c>
      <c r="AH133" s="81" t="s">
        <v>184</v>
      </c>
      <c r="AI133" s="81" t="s">
        <v>185</v>
      </c>
      <c r="AJ133" s="81" t="s">
        <v>186</v>
      </c>
      <c r="AK133" s="81">
        <v>45016.125</v>
      </c>
      <c r="AL133" s="81" t="s">
        <v>178</v>
      </c>
      <c r="AM133" s="81" t="s">
        <v>179</v>
      </c>
      <c r="AN133" s="81">
        <v>0</v>
      </c>
      <c r="AO133" s="80">
        <f t="shared" si="2"/>
        <v>0</v>
      </c>
    </row>
    <row r="134" spans="1:41">
      <c r="A134" s="81" t="s">
        <v>73</v>
      </c>
      <c r="B134" s="81" t="s">
        <v>295</v>
      </c>
      <c r="C134" s="81" t="s">
        <v>168</v>
      </c>
      <c r="D134" s="81" t="s">
        <v>169</v>
      </c>
      <c r="E134" s="81" t="s">
        <v>241</v>
      </c>
      <c r="F134" s="81" t="s">
        <v>241</v>
      </c>
      <c r="G134" s="81" t="s">
        <v>74</v>
      </c>
      <c r="H134" s="81">
        <v>30</v>
      </c>
      <c r="I134" s="81">
        <v>44652</v>
      </c>
      <c r="J134" s="81"/>
      <c r="K134" s="81" t="s">
        <v>75</v>
      </c>
      <c r="L134" s="81">
        <v>0.36</v>
      </c>
      <c r="M134" s="81">
        <v>2</v>
      </c>
      <c r="N134" s="81" t="s">
        <v>71</v>
      </c>
      <c r="O134" s="81" t="s">
        <v>275</v>
      </c>
      <c r="P134" s="81" t="s">
        <v>296</v>
      </c>
      <c r="Q134" s="81">
        <v>44782</v>
      </c>
      <c r="R134" s="81" t="s">
        <v>173</v>
      </c>
      <c r="S134" s="81"/>
      <c r="T134" s="81" t="s">
        <v>173</v>
      </c>
      <c r="U134" s="81">
        <v>0</v>
      </c>
      <c r="V134" s="81">
        <v>38</v>
      </c>
      <c r="W134" s="81">
        <v>6405</v>
      </c>
      <c r="X134" s="81">
        <v>86200</v>
      </c>
      <c r="Y134" s="81">
        <v>2305.8000000000002</v>
      </c>
      <c r="Z134" s="81">
        <v>12810</v>
      </c>
      <c r="AA134" s="81" t="s">
        <v>614</v>
      </c>
      <c r="AB134" s="81" t="s">
        <v>188</v>
      </c>
      <c r="AC134" s="81" t="s">
        <v>615</v>
      </c>
      <c r="AD134" s="81" t="s">
        <v>614</v>
      </c>
      <c r="AE134" s="81" t="s">
        <v>616</v>
      </c>
      <c r="AF134" s="81" t="s">
        <v>185</v>
      </c>
      <c r="AG134" s="81" t="s">
        <v>617</v>
      </c>
      <c r="AH134" s="81" t="s">
        <v>184</v>
      </c>
      <c r="AI134" s="81" t="s">
        <v>185</v>
      </c>
      <c r="AJ134" s="81" t="s">
        <v>186</v>
      </c>
      <c r="AK134" s="81">
        <v>45044.125</v>
      </c>
      <c r="AL134" s="81" t="s">
        <v>178</v>
      </c>
      <c r="AM134" s="81" t="s">
        <v>179</v>
      </c>
      <c r="AN134" s="81">
        <v>0</v>
      </c>
      <c r="AO134" s="80">
        <f t="shared" si="2"/>
        <v>0</v>
      </c>
    </row>
    <row r="135" spans="1:41">
      <c r="A135" s="81" t="s">
        <v>79</v>
      </c>
      <c r="B135" s="81" t="s">
        <v>119</v>
      </c>
      <c r="C135" s="81" t="s">
        <v>168</v>
      </c>
      <c r="D135" s="81" t="s">
        <v>169</v>
      </c>
      <c r="E135" s="81" t="s">
        <v>241</v>
      </c>
      <c r="F135" s="81" t="s">
        <v>241</v>
      </c>
      <c r="G135" s="81" t="s">
        <v>27</v>
      </c>
      <c r="H135" s="81">
        <v>30</v>
      </c>
      <c r="I135" s="81">
        <v>43515</v>
      </c>
      <c r="J135" s="81"/>
      <c r="K135" s="81" t="s">
        <v>80</v>
      </c>
      <c r="L135" s="81">
        <v>0.32</v>
      </c>
      <c r="M135" s="81">
        <v>2.5</v>
      </c>
      <c r="N135" s="81" t="s">
        <v>71</v>
      </c>
      <c r="O135" s="81" t="s">
        <v>171</v>
      </c>
      <c r="P135" s="81" t="s">
        <v>201</v>
      </c>
      <c r="Q135" s="81">
        <v>44925</v>
      </c>
      <c r="R135" s="81" t="s">
        <v>173</v>
      </c>
      <c r="S135" s="81"/>
      <c r="T135" s="81" t="s">
        <v>173</v>
      </c>
      <c r="U135" s="81">
        <v>0</v>
      </c>
      <c r="V135" s="81">
        <v>49</v>
      </c>
      <c r="W135" s="81">
        <v>3048</v>
      </c>
      <c r="X135" s="81">
        <v>9674</v>
      </c>
      <c r="Y135" s="81">
        <v>975.36</v>
      </c>
      <c r="Z135" s="81">
        <v>7620</v>
      </c>
      <c r="AA135" s="81" t="s">
        <v>279</v>
      </c>
      <c r="AB135" s="81" t="s">
        <v>174</v>
      </c>
      <c r="AC135" s="81" t="s">
        <v>618</v>
      </c>
      <c r="AD135" s="81" t="s">
        <v>279</v>
      </c>
      <c r="AE135" s="81" t="s">
        <v>280</v>
      </c>
      <c r="AF135" s="81" t="s">
        <v>175</v>
      </c>
      <c r="AG135" s="81" t="s">
        <v>281</v>
      </c>
      <c r="AH135" s="81" t="s">
        <v>175</v>
      </c>
      <c r="AI135" s="81" t="s">
        <v>175</v>
      </c>
      <c r="AJ135" s="81" t="s">
        <v>177</v>
      </c>
      <c r="AK135" s="81">
        <v>45016.125</v>
      </c>
      <c r="AL135" s="81" t="s">
        <v>178</v>
      </c>
      <c r="AM135" s="81" t="s">
        <v>179</v>
      </c>
      <c r="AN135" s="81">
        <v>0</v>
      </c>
      <c r="AO135" s="80">
        <f t="shared" si="2"/>
        <v>0</v>
      </c>
    </row>
    <row r="136" spans="1:41">
      <c r="A136" s="81" t="s">
        <v>79</v>
      </c>
      <c r="B136" s="81" t="s">
        <v>119</v>
      </c>
      <c r="C136" s="81" t="s">
        <v>168</v>
      </c>
      <c r="D136" s="81" t="s">
        <v>169</v>
      </c>
      <c r="E136" s="81" t="s">
        <v>241</v>
      </c>
      <c r="F136" s="81" t="s">
        <v>241</v>
      </c>
      <c r="G136" s="81" t="s">
        <v>27</v>
      </c>
      <c r="H136" s="81">
        <v>30</v>
      </c>
      <c r="I136" s="81">
        <v>43515</v>
      </c>
      <c r="J136" s="81"/>
      <c r="K136" s="81" t="s">
        <v>80</v>
      </c>
      <c r="L136" s="81">
        <v>0.32</v>
      </c>
      <c r="M136" s="81">
        <v>2.5</v>
      </c>
      <c r="N136" s="81" t="s">
        <v>71</v>
      </c>
      <c r="O136" s="81" t="s">
        <v>171</v>
      </c>
      <c r="P136" s="81" t="s">
        <v>201</v>
      </c>
      <c r="Q136" s="81">
        <v>44875</v>
      </c>
      <c r="R136" s="81" t="s">
        <v>173</v>
      </c>
      <c r="S136" s="81"/>
      <c r="T136" s="81" t="s">
        <v>173</v>
      </c>
      <c r="U136" s="81">
        <v>0</v>
      </c>
      <c r="V136" s="81">
        <v>49</v>
      </c>
      <c r="W136" s="81">
        <v>3600</v>
      </c>
      <c r="X136" s="81">
        <v>11538</v>
      </c>
      <c r="Y136" s="81">
        <v>1152</v>
      </c>
      <c r="Z136" s="81">
        <v>9000</v>
      </c>
      <c r="AA136" s="81" t="s">
        <v>279</v>
      </c>
      <c r="AB136" s="81" t="s">
        <v>174</v>
      </c>
      <c r="AC136" s="81" t="s">
        <v>317</v>
      </c>
      <c r="AD136" s="81" t="s">
        <v>318</v>
      </c>
      <c r="AE136" s="81" t="s">
        <v>319</v>
      </c>
      <c r="AF136" s="81" t="s">
        <v>175</v>
      </c>
      <c r="AG136" s="81" t="s">
        <v>281</v>
      </c>
      <c r="AH136" s="81" t="s">
        <v>175</v>
      </c>
      <c r="AI136" s="81" t="s">
        <v>175</v>
      </c>
      <c r="AJ136" s="81" t="s">
        <v>177</v>
      </c>
      <c r="AK136" s="81">
        <v>45016.125</v>
      </c>
      <c r="AL136" s="81" t="s">
        <v>178</v>
      </c>
      <c r="AM136" s="81" t="s">
        <v>179</v>
      </c>
      <c r="AN136" s="81">
        <v>0</v>
      </c>
      <c r="AO136" s="80">
        <f t="shared" si="2"/>
        <v>0</v>
      </c>
    </row>
    <row r="137" spans="1:41">
      <c r="A137" s="81" t="s">
        <v>111</v>
      </c>
      <c r="B137" s="81" t="s">
        <v>294</v>
      </c>
      <c r="C137" s="81" t="s">
        <v>168</v>
      </c>
      <c r="D137" s="81" t="s">
        <v>169</v>
      </c>
      <c r="E137" s="81" t="s">
        <v>241</v>
      </c>
      <c r="F137" s="81" t="s">
        <v>241</v>
      </c>
      <c r="G137" s="81" t="s">
        <v>100</v>
      </c>
      <c r="H137" s="81">
        <v>30</v>
      </c>
      <c r="I137" s="81">
        <v>44652</v>
      </c>
      <c r="J137" s="81"/>
      <c r="K137" s="81" t="s">
        <v>101</v>
      </c>
      <c r="L137" s="81">
        <v>5.6000000000000001E-2</v>
      </c>
      <c r="M137" s="81">
        <v>1.25</v>
      </c>
      <c r="N137" s="81" t="s">
        <v>78</v>
      </c>
      <c r="O137" s="81" t="s">
        <v>275</v>
      </c>
      <c r="P137" s="81" t="s">
        <v>201</v>
      </c>
      <c r="Q137" s="81">
        <v>44875</v>
      </c>
      <c r="R137" s="81" t="s">
        <v>173</v>
      </c>
      <c r="S137" s="81"/>
      <c r="T137" s="81" t="s">
        <v>173</v>
      </c>
      <c r="U137" s="81">
        <v>0</v>
      </c>
      <c r="V137" s="81">
        <v>30</v>
      </c>
      <c r="W137" s="81">
        <v>3600</v>
      </c>
      <c r="X137" s="81">
        <v>6843</v>
      </c>
      <c r="Y137" s="81">
        <v>201.6</v>
      </c>
      <c r="Z137" s="81">
        <v>4500</v>
      </c>
      <c r="AA137" s="81" t="s">
        <v>279</v>
      </c>
      <c r="AB137" s="81" t="s">
        <v>174</v>
      </c>
      <c r="AC137" s="81" t="s">
        <v>317</v>
      </c>
      <c r="AD137" s="81" t="s">
        <v>318</v>
      </c>
      <c r="AE137" s="81" t="s">
        <v>319</v>
      </c>
      <c r="AF137" s="81" t="s">
        <v>175</v>
      </c>
      <c r="AG137" s="81" t="s">
        <v>281</v>
      </c>
      <c r="AH137" s="81" t="s">
        <v>175</v>
      </c>
      <c r="AI137" s="81" t="s">
        <v>175</v>
      </c>
      <c r="AJ137" s="81" t="s">
        <v>177</v>
      </c>
      <c r="AK137" s="81">
        <v>45016.125</v>
      </c>
      <c r="AL137" s="81" t="s">
        <v>178</v>
      </c>
      <c r="AM137" s="81" t="s">
        <v>179</v>
      </c>
      <c r="AN137" s="81">
        <v>0</v>
      </c>
      <c r="AO137" s="80">
        <f t="shared" si="2"/>
        <v>0</v>
      </c>
    </row>
    <row r="138" spans="1:41">
      <c r="A138" s="81" t="s">
        <v>73</v>
      </c>
      <c r="B138" s="81" t="s">
        <v>295</v>
      </c>
      <c r="C138" s="81" t="s">
        <v>168</v>
      </c>
      <c r="D138" s="81" t="s">
        <v>169</v>
      </c>
      <c r="E138" s="81" t="s">
        <v>241</v>
      </c>
      <c r="F138" s="81" t="s">
        <v>241</v>
      </c>
      <c r="G138" s="81" t="s">
        <v>74</v>
      </c>
      <c r="H138" s="81">
        <v>30</v>
      </c>
      <c r="I138" s="81">
        <v>44652</v>
      </c>
      <c r="J138" s="81"/>
      <c r="K138" s="81" t="s">
        <v>75</v>
      </c>
      <c r="L138" s="81">
        <v>0.36</v>
      </c>
      <c r="M138" s="81">
        <v>2</v>
      </c>
      <c r="N138" s="81" t="s">
        <v>71</v>
      </c>
      <c r="O138" s="81" t="s">
        <v>275</v>
      </c>
      <c r="P138" s="81" t="s">
        <v>356</v>
      </c>
      <c r="Q138" s="81">
        <v>45031</v>
      </c>
      <c r="R138" s="81" t="s">
        <v>173</v>
      </c>
      <c r="S138" s="81"/>
      <c r="T138" s="81" t="s">
        <v>173</v>
      </c>
      <c r="U138" s="81">
        <v>0</v>
      </c>
      <c r="V138" s="81">
        <v>51</v>
      </c>
      <c r="W138" s="81">
        <v>23285</v>
      </c>
      <c r="X138" s="81">
        <v>541116</v>
      </c>
      <c r="Y138" s="81">
        <v>8382.6</v>
      </c>
      <c r="Z138" s="81">
        <v>46570</v>
      </c>
      <c r="AA138" s="81" t="s">
        <v>358</v>
      </c>
      <c r="AB138" s="81" t="s">
        <v>183</v>
      </c>
      <c r="AC138" s="81" t="s">
        <v>359</v>
      </c>
      <c r="AD138" s="81" t="s">
        <v>360</v>
      </c>
      <c r="AE138" s="81" t="s">
        <v>361</v>
      </c>
      <c r="AF138" s="81" t="s">
        <v>362</v>
      </c>
      <c r="AG138" s="81" t="s">
        <v>363</v>
      </c>
      <c r="AH138" s="81" t="s">
        <v>209</v>
      </c>
      <c r="AI138" s="81" t="s">
        <v>210</v>
      </c>
      <c r="AJ138" s="81" t="s">
        <v>205</v>
      </c>
      <c r="AK138" s="81">
        <v>45121.25</v>
      </c>
      <c r="AL138" s="81" t="s">
        <v>178</v>
      </c>
      <c r="AM138" s="81" t="s">
        <v>179</v>
      </c>
      <c r="AN138" s="81">
        <v>0</v>
      </c>
      <c r="AO138" s="80">
        <f t="shared" si="2"/>
        <v>0</v>
      </c>
    </row>
    <row r="139" spans="1:41">
      <c r="A139" s="81" t="s">
        <v>79</v>
      </c>
      <c r="B139" s="81" t="s">
        <v>119</v>
      </c>
      <c r="C139" s="81" t="s">
        <v>168</v>
      </c>
      <c r="D139" s="81" t="s">
        <v>169</v>
      </c>
      <c r="E139" s="81" t="s">
        <v>241</v>
      </c>
      <c r="F139" s="81" t="s">
        <v>241</v>
      </c>
      <c r="G139" s="81" t="s">
        <v>27</v>
      </c>
      <c r="H139" s="81">
        <v>30</v>
      </c>
      <c r="I139" s="81">
        <v>43515</v>
      </c>
      <c r="J139" s="81"/>
      <c r="K139" s="81" t="s">
        <v>80</v>
      </c>
      <c r="L139" s="81">
        <v>0.32</v>
      </c>
      <c r="M139" s="81">
        <v>2.5</v>
      </c>
      <c r="N139" s="81" t="s">
        <v>71</v>
      </c>
      <c r="O139" s="81" t="s">
        <v>171</v>
      </c>
      <c r="P139" s="81" t="s">
        <v>619</v>
      </c>
      <c r="Q139" s="81">
        <v>44957</v>
      </c>
      <c r="R139" s="81" t="s">
        <v>173</v>
      </c>
      <c r="S139" s="81"/>
      <c r="T139" s="81" t="s">
        <v>173</v>
      </c>
      <c r="U139" s="81">
        <v>0</v>
      </c>
      <c r="V139" s="81">
        <v>49</v>
      </c>
      <c r="W139" s="81">
        <v>4500</v>
      </c>
      <c r="X139" s="81">
        <v>5765.31</v>
      </c>
      <c r="Y139" s="81">
        <v>1440</v>
      </c>
      <c r="Z139" s="81">
        <v>5765.31</v>
      </c>
      <c r="AA139" s="81" t="s">
        <v>620</v>
      </c>
      <c r="AB139" s="81" t="s">
        <v>188</v>
      </c>
      <c r="AC139" s="81" t="s">
        <v>621</v>
      </c>
      <c r="AD139" s="81" t="s">
        <v>620</v>
      </c>
      <c r="AE139" s="81" t="s">
        <v>622</v>
      </c>
      <c r="AF139" s="81" t="s">
        <v>192</v>
      </c>
      <c r="AG139" s="81" t="s">
        <v>623</v>
      </c>
      <c r="AH139" s="81" t="s">
        <v>191</v>
      </c>
      <c r="AI139" s="81" t="s">
        <v>192</v>
      </c>
      <c r="AJ139" s="81" t="s">
        <v>186</v>
      </c>
      <c r="AK139" s="81">
        <v>45120.25</v>
      </c>
      <c r="AL139" s="81" t="s">
        <v>178</v>
      </c>
      <c r="AM139" s="81" t="s">
        <v>179</v>
      </c>
      <c r="AN139" s="81">
        <v>0</v>
      </c>
      <c r="AO139" s="80">
        <f t="shared" si="2"/>
        <v>0</v>
      </c>
    </row>
    <row r="140" spans="1:41">
      <c r="A140" s="81" t="s">
        <v>76</v>
      </c>
      <c r="B140" s="81" t="s">
        <v>291</v>
      </c>
      <c r="C140" s="81" t="s">
        <v>168</v>
      </c>
      <c r="D140" s="81" t="s">
        <v>169</v>
      </c>
      <c r="E140" s="81" t="s">
        <v>241</v>
      </c>
      <c r="F140" s="81" t="s">
        <v>241</v>
      </c>
      <c r="G140" s="81" t="s">
        <v>72</v>
      </c>
      <c r="H140" s="81">
        <v>30</v>
      </c>
      <c r="I140" s="81">
        <v>44652</v>
      </c>
      <c r="J140" s="81"/>
      <c r="K140" s="81" t="s">
        <v>77</v>
      </c>
      <c r="L140" s="81">
        <v>0.19</v>
      </c>
      <c r="M140" s="81">
        <v>2</v>
      </c>
      <c r="N140" s="81" t="s">
        <v>78</v>
      </c>
      <c r="O140" s="81" t="s">
        <v>275</v>
      </c>
      <c r="P140" s="81" t="s">
        <v>335</v>
      </c>
      <c r="Q140" s="81">
        <v>44907</v>
      </c>
      <c r="R140" s="81" t="s">
        <v>173</v>
      </c>
      <c r="S140" s="81"/>
      <c r="T140" s="81" t="s">
        <v>173</v>
      </c>
      <c r="U140" s="81">
        <v>0</v>
      </c>
      <c r="V140" s="81">
        <v>30</v>
      </c>
      <c r="W140" s="81">
        <v>21000</v>
      </c>
      <c r="X140" s="81">
        <v>56757</v>
      </c>
      <c r="Y140" s="81">
        <v>3990</v>
      </c>
      <c r="Z140" s="81">
        <v>42000</v>
      </c>
      <c r="AA140" s="81" t="s">
        <v>336</v>
      </c>
      <c r="AB140" s="81" t="s">
        <v>188</v>
      </c>
      <c r="AC140" s="81" t="s">
        <v>337</v>
      </c>
      <c r="AD140" s="81" t="s">
        <v>336</v>
      </c>
      <c r="AE140" s="81" t="s">
        <v>338</v>
      </c>
      <c r="AF140" s="81" t="s">
        <v>227</v>
      </c>
      <c r="AG140" s="81" t="s">
        <v>339</v>
      </c>
      <c r="AH140" s="81" t="s">
        <v>191</v>
      </c>
      <c r="AI140" s="81" t="s">
        <v>192</v>
      </c>
      <c r="AJ140" s="81" t="s">
        <v>186</v>
      </c>
      <c r="AK140" s="81">
        <v>44957.125</v>
      </c>
      <c r="AL140" s="81" t="s">
        <v>178</v>
      </c>
      <c r="AM140" s="81" t="s">
        <v>179</v>
      </c>
      <c r="AN140" s="81">
        <v>0</v>
      </c>
      <c r="AO140" s="80">
        <f t="shared" si="2"/>
        <v>0</v>
      </c>
    </row>
    <row r="141" spans="1:41">
      <c r="A141" s="81" t="s">
        <v>292</v>
      </c>
      <c r="B141" s="81" t="s">
        <v>293</v>
      </c>
      <c r="C141" s="81" t="s">
        <v>223</v>
      </c>
      <c r="D141" s="81" t="s">
        <v>169</v>
      </c>
      <c r="E141" s="81" t="s">
        <v>292</v>
      </c>
      <c r="F141" s="81" t="s">
        <v>224</v>
      </c>
      <c r="G141" s="81" t="s">
        <v>624</v>
      </c>
      <c r="H141" s="81">
        <v>30</v>
      </c>
      <c r="I141" s="81"/>
      <c r="J141" s="81"/>
      <c r="K141" s="81" t="s">
        <v>173</v>
      </c>
      <c r="L141" s="81">
        <v>0</v>
      </c>
      <c r="M141" s="81">
        <v>0</v>
      </c>
      <c r="N141" s="81" t="s">
        <v>21</v>
      </c>
      <c r="O141" s="81" t="s">
        <v>173</v>
      </c>
      <c r="P141" s="81" t="s">
        <v>244</v>
      </c>
      <c r="Q141" s="81">
        <v>44873</v>
      </c>
      <c r="R141" s="81" t="s">
        <v>173</v>
      </c>
      <c r="S141" s="81"/>
      <c r="T141" s="81" t="s">
        <v>173</v>
      </c>
      <c r="U141" s="81">
        <v>11</v>
      </c>
      <c r="V141" s="81">
        <v>49</v>
      </c>
      <c r="W141" s="81">
        <v>1</v>
      </c>
      <c r="X141" s="81">
        <v>6629</v>
      </c>
      <c r="Y141" s="81">
        <v>256</v>
      </c>
      <c r="Z141" s="81">
        <v>2169</v>
      </c>
      <c r="AA141" s="81" t="s">
        <v>625</v>
      </c>
      <c r="AB141" s="81" t="s">
        <v>188</v>
      </c>
      <c r="AC141" s="81" t="s">
        <v>626</v>
      </c>
      <c r="AD141" s="81" t="s">
        <v>625</v>
      </c>
      <c r="AE141" s="81" t="s">
        <v>627</v>
      </c>
      <c r="AF141" s="81" t="s">
        <v>237</v>
      </c>
      <c r="AG141" s="81" t="s">
        <v>238</v>
      </c>
      <c r="AH141" s="81" t="s">
        <v>184</v>
      </c>
      <c r="AI141" s="81" t="s">
        <v>185</v>
      </c>
      <c r="AJ141" s="81" t="s">
        <v>186</v>
      </c>
      <c r="AK141" s="81">
        <v>44971.125</v>
      </c>
      <c r="AL141" s="81" t="s">
        <v>178</v>
      </c>
      <c r="AM141" s="81" t="s">
        <v>179</v>
      </c>
      <c r="AN141" s="81">
        <v>6629</v>
      </c>
      <c r="AO141" s="80">
        <f t="shared" si="2"/>
        <v>-256</v>
      </c>
    </row>
    <row r="142" spans="1:41">
      <c r="A142" s="81" t="s">
        <v>79</v>
      </c>
      <c r="B142" s="81" t="s">
        <v>119</v>
      </c>
      <c r="C142" s="81" t="s">
        <v>168</v>
      </c>
      <c r="D142" s="81" t="s">
        <v>169</v>
      </c>
      <c r="E142" s="81" t="s">
        <v>241</v>
      </c>
      <c r="F142" s="81" t="s">
        <v>241</v>
      </c>
      <c r="G142" s="81" t="s">
        <v>27</v>
      </c>
      <c r="H142" s="81">
        <v>30</v>
      </c>
      <c r="I142" s="81">
        <v>43515</v>
      </c>
      <c r="J142" s="81"/>
      <c r="K142" s="81" t="s">
        <v>80</v>
      </c>
      <c r="L142" s="81">
        <v>0.32</v>
      </c>
      <c r="M142" s="81">
        <v>2.5</v>
      </c>
      <c r="N142" s="81" t="s">
        <v>71</v>
      </c>
      <c r="O142" s="81" t="s">
        <v>171</v>
      </c>
      <c r="P142" s="81" t="s">
        <v>335</v>
      </c>
      <c r="Q142" s="81">
        <v>44932</v>
      </c>
      <c r="R142" s="81" t="s">
        <v>173</v>
      </c>
      <c r="S142" s="81"/>
      <c r="T142" s="81" t="s">
        <v>173</v>
      </c>
      <c r="U142" s="81">
        <v>0</v>
      </c>
      <c r="V142" s="81">
        <v>49</v>
      </c>
      <c r="W142" s="81">
        <v>47638</v>
      </c>
      <c r="X142" s="81">
        <v>108509.07</v>
      </c>
      <c r="Y142" s="81">
        <v>15244.16</v>
      </c>
      <c r="Z142" s="81">
        <v>108509.07</v>
      </c>
      <c r="AA142" s="81" t="s">
        <v>335</v>
      </c>
      <c r="AB142" s="81" t="s">
        <v>188</v>
      </c>
      <c r="AC142" s="81" t="s">
        <v>628</v>
      </c>
      <c r="AD142" s="81" t="s">
        <v>629</v>
      </c>
      <c r="AE142" s="81" t="s">
        <v>630</v>
      </c>
      <c r="AF142" s="81" t="s">
        <v>237</v>
      </c>
      <c r="AG142" s="81" t="s">
        <v>631</v>
      </c>
      <c r="AH142" s="81" t="s">
        <v>184</v>
      </c>
      <c r="AI142" s="81" t="s">
        <v>185</v>
      </c>
      <c r="AJ142" s="81" t="s">
        <v>186</v>
      </c>
      <c r="AK142" s="81">
        <v>44961</v>
      </c>
      <c r="AL142" s="81" t="s">
        <v>178</v>
      </c>
      <c r="AM142" s="81" t="s">
        <v>179</v>
      </c>
      <c r="AN142" s="81">
        <v>0</v>
      </c>
      <c r="AO142" s="80">
        <f t="shared" si="2"/>
        <v>0</v>
      </c>
    </row>
    <row r="143" spans="1:41">
      <c r="A143" s="81" t="s">
        <v>79</v>
      </c>
      <c r="B143" s="81" t="s">
        <v>119</v>
      </c>
      <c r="C143" s="81" t="s">
        <v>168</v>
      </c>
      <c r="D143" s="81" t="s">
        <v>169</v>
      </c>
      <c r="E143" s="81" t="s">
        <v>241</v>
      </c>
      <c r="F143" s="81" t="s">
        <v>241</v>
      </c>
      <c r="G143" s="81" t="s">
        <v>27</v>
      </c>
      <c r="H143" s="81">
        <v>30</v>
      </c>
      <c r="I143" s="81">
        <v>43515</v>
      </c>
      <c r="J143" s="81"/>
      <c r="K143" s="81" t="s">
        <v>80</v>
      </c>
      <c r="L143" s="81">
        <v>0.32</v>
      </c>
      <c r="M143" s="81">
        <v>2.5</v>
      </c>
      <c r="N143" s="81" t="s">
        <v>71</v>
      </c>
      <c r="O143" s="81" t="s">
        <v>171</v>
      </c>
      <c r="P143" s="81" t="s">
        <v>632</v>
      </c>
      <c r="Q143" s="81">
        <v>44942</v>
      </c>
      <c r="R143" s="81" t="s">
        <v>173</v>
      </c>
      <c r="S143" s="81"/>
      <c r="T143" s="81" t="s">
        <v>173</v>
      </c>
      <c r="U143" s="81">
        <v>0</v>
      </c>
      <c r="V143" s="81">
        <v>49</v>
      </c>
      <c r="W143" s="81">
        <v>3025</v>
      </c>
      <c r="X143" s="81">
        <v>8016</v>
      </c>
      <c r="Y143" s="81">
        <v>968</v>
      </c>
      <c r="Z143" s="81">
        <v>7562.5</v>
      </c>
      <c r="AA143" s="81" t="s">
        <v>633</v>
      </c>
      <c r="AB143" s="81" t="s">
        <v>202</v>
      </c>
      <c r="AC143" s="81" t="s">
        <v>634</v>
      </c>
      <c r="AD143" s="81" t="s">
        <v>635</v>
      </c>
      <c r="AE143" s="81" t="s">
        <v>636</v>
      </c>
      <c r="AF143" s="81" t="s">
        <v>637</v>
      </c>
      <c r="AG143" s="81" t="s">
        <v>638</v>
      </c>
      <c r="AH143" s="81" t="s">
        <v>206</v>
      </c>
      <c r="AI143" s="81" t="s">
        <v>206</v>
      </c>
      <c r="AJ143" s="81" t="s">
        <v>177</v>
      </c>
      <c r="AK143" s="81">
        <v>44971.125</v>
      </c>
      <c r="AL143" s="81" t="s">
        <v>178</v>
      </c>
      <c r="AM143" s="81" t="s">
        <v>179</v>
      </c>
      <c r="AN143" s="81">
        <v>0</v>
      </c>
      <c r="AO143" s="80">
        <f t="shared" si="2"/>
        <v>0</v>
      </c>
    </row>
    <row r="144" spans="1:41">
      <c r="A144" s="81" t="s">
        <v>79</v>
      </c>
      <c r="B144" s="81" t="s">
        <v>119</v>
      </c>
      <c r="C144" s="81" t="s">
        <v>168</v>
      </c>
      <c r="D144" s="81" t="s">
        <v>169</v>
      </c>
      <c r="E144" s="81" t="s">
        <v>241</v>
      </c>
      <c r="F144" s="81" t="s">
        <v>241</v>
      </c>
      <c r="G144" s="81" t="s">
        <v>27</v>
      </c>
      <c r="H144" s="81">
        <v>30</v>
      </c>
      <c r="I144" s="81">
        <v>43515</v>
      </c>
      <c r="J144" s="81"/>
      <c r="K144" s="81" t="s">
        <v>80</v>
      </c>
      <c r="L144" s="81">
        <v>0.32</v>
      </c>
      <c r="M144" s="81">
        <v>2.5</v>
      </c>
      <c r="N144" s="81" t="s">
        <v>71</v>
      </c>
      <c r="O144" s="81" t="s">
        <v>171</v>
      </c>
      <c r="P144" s="81" t="s">
        <v>632</v>
      </c>
      <c r="Q144" s="81">
        <v>44897</v>
      </c>
      <c r="R144" s="81" t="s">
        <v>173</v>
      </c>
      <c r="S144" s="81"/>
      <c r="T144" s="81" t="s">
        <v>173</v>
      </c>
      <c r="U144" s="81">
        <v>0</v>
      </c>
      <c r="V144" s="81">
        <v>49</v>
      </c>
      <c r="W144" s="81">
        <v>1500</v>
      </c>
      <c r="X144" s="81">
        <v>4350</v>
      </c>
      <c r="Y144" s="81">
        <v>480</v>
      </c>
      <c r="Z144" s="81">
        <v>3750</v>
      </c>
      <c r="AA144" s="81" t="s">
        <v>639</v>
      </c>
      <c r="AB144" s="81" t="s">
        <v>202</v>
      </c>
      <c r="AC144" s="81" t="s">
        <v>640</v>
      </c>
      <c r="AD144" s="81" t="s">
        <v>641</v>
      </c>
      <c r="AE144" s="81" t="s">
        <v>642</v>
      </c>
      <c r="AF144" s="81" t="s">
        <v>206</v>
      </c>
      <c r="AG144" s="81" t="s">
        <v>643</v>
      </c>
      <c r="AH144" s="81" t="s">
        <v>206</v>
      </c>
      <c r="AI144" s="81" t="s">
        <v>206</v>
      </c>
      <c r="AJ144" s="81" t="s">
        <v>177</v>
      </c>
      <c r="AK144" s="81">
        <v>45003.125</v>
      </c>
      <c r="AL144" s="81" t="s">
        <v>178</v>
      </c>
      <c r="AM144" s="81" t="s">
        <v>179</v>
      </c>
      <c r="AN144" s="81">
        <v>0</v>
      </c>
      <c r="AO144" s="80">
        <f t="shared" si="2"/>
        <v>0</v>
      </c>
    </row>
    <row r="145" spans="1:41">
      <c r="A145" s="81" t="s">
        <v>297</v>
      </c>
      <c r="B145" s="81" t="s">
        <v>298</v>
      </c>
      <c r="C145" s="81" t="s">
        <v>168</v>
      </c>
      <c r="D145" s="81" t="s">
        <v>169</v>
      </c>
      <c r="E145" s="81" t="s">
        <v>81</v>
      </c>
      <c r="F145" s="81" t="s">
        <v>81</v>
      </c>
      <c r="G145" s="81" t="s">
        <v>299</v>
      </c>
      <c r="H145" s="81">
        <v>45</v>
      </c>
      <c r="I145" s="81">
        <v>44652</v>
      </c>
      <c r="J145" s="81"/>
      <c r="K145" s="81" t="s">
        <v>300</v>
      </c>
      <c r="L145" s="81">
        <v>0.48770000000000002</v>
      </c>
      <c r="M145" s="81">
        <v>7.5</v>
      </c>
      <c r="N145" s="81" t="s">
        <v>78</v>
      </c>
      <c r="O145" s="81" t="s">
        <v>275</v>
      </c>
      <c r="P145" s="81" t="s">
        <v>201</v>
      </c>
      <c r="Q145" s="81">
        <v>45022</v>
      </c>
      <c r="R145" s="81" t="s">
        <v>173</v>
      </c>
      <c r="S145" s="81"/>
      <c r="T145" s="81" t="s">
        <v>173</v>
      </c>
      <c r="U145" s="81"/>
      <c r="V145" s="81"/>
      <c r="W145" s="81">
        <v>117.9</v>
      </c>
      <c r="X145" s="81">
        <v>4320</v>
      </c>
      <c r="Y145" s="81">
        <v>57.49</v>
      </c>
      <c r="Z145" s="81">
        <v>884.03</v>
      </c>
      <c r="AA145" s="81" t="s">
        <v>644</v>
      </c>
      <c r="AB145" s="81" t="s">
        <v>174</v>
      </c>
      <c r="AC145" s="81" t="s">
        <v>645</v>
      </c>
      <c r="AD145" s="81" t="s">
        <v>646</v>
      </c>
      <c r="AE145" s="81" t="s">
        <v>647</v>
      </c>
      <c r="AF145" s="81" t="s">
        <v>175</v>
      </c>
      <c r="AG145" s="81" t="s">
        <v>648</v>
      </c>
      <c r="AH145" s="81" t="s">
        <v>175</v>
      </c>
      <c r="AI145" s="81" t="s">
        <v>175</v>
      </c>
      <c r="AJ145" s="81" t="s">
        <v>177</v>
      </c>
      <c r="AK145" s="81">
        <v>45085.125</v>
      </c>
      <c r="AL145" s="81" t="s">
        <v>178</v>
      </c>
      <c r="AM145" s="81" t="s">
        <v>179</v>
      </c>
      <c r="AN145" s="81">
        <v>0</v>
      </c>
      <c r="AO145" s="80">
        <f t="shared" si="2"/>
        <v>9.8300000000008936E-3</v>
      </c>
    </row>
    <row r="146" spans="1:41">
      <c r="A146" s="81" t="s">
        <v>297</v>
      </c>
      <c r="B146" s="81" t="s">
        <v>298</v>
      </c>
      <c r="C146" s="81" t="s">
        <v>168</v>
      </c>
      <c r="D146" s="81" t="s">
        <v>169</v>
      </c>
      <c r="E146" s="81" t="s">
        <v>81</v>
      </c>
      <c r="F146" s="81" t="s">
        <v>81</v>
      </c>
      <c r="G146" s="81" t="s">
        <v>299</v>
      </c>
      <c r="H146" s="81">
        <v>45</v>
      </c>
      <c r="I146" s="81">
        <v>44652</v>
      </c>
      <c r="J146" s="81"/>
      <c r="K146" s="81" t="s">
        <v>300</v>
      </c>
      <c r="L146" s="81">
        <v>0.48770000000000002</v>
      </c>
      <c r="M146" s="81">
        <v>7.5</v>
      </c>
      <c r="N146" s="81" t="s">
        <v>78</v>
      </c>
      <c r="O146" s="81" t="s">
        <v>275</v>
      </c>
      <c r="P146" s="81" t="s">
        <v>649</v>
      </c>
      <c r="Q146" s="81">
        <v>44963</v>
      </c>
      <c r="R146" s="81" t="s">
        <v>173</v>
      </c>
      <c r="S146" s="81"/>
      <c r="T146" s="81" t="s">
        <v>173</v>
      </c>
      <c r="U146" s="81"/>
      <c r="V146" s="81"/>
      <c r="W146" s="81">
        <v>109</v>
      </c>
      <c r="X146" s="81">
        <v>4152</v>
      </c>
      <c r="Y146" s="81">
        <v>53.16</v>
      </c>
      <c r="Z146" s="81">
        <v>817.5</v>
      </c>
      <c r="AA146" s="81" t="s">
        <v>279</v>
      </c>
      <c r="AB146" s="81" t="s">
        <v>174</v>
      </c>
      <c r="AC146" s="81" t="s">
        <v>618</v>
      </c>
      <c r="AD146" s="81" t="s">
        <v>279</v>
      </c>
      <c r="AE146" s="81" t="s">
        <v>280</v>
      </c>
      <c r="AF146" s="81" t="s">
        <v>175</v>
      </c>
      <c r="AG146" s="81" t="s">
        <v>281</v>
      </c>
      <c r="AH146" s="81" t="s">
        <v>175</v>
      </c>
      <c r="AI146" s="81" t="s">
        <v>175</v>
      </c>
      <c r="AJ146" s="81" t="s">
        <v>177</v>
      </c>
      <c r="AK146" s="81">
        <v>45016.125</v>
      </c>
      <c r="AL146" s="81" t="s">
        <v>178</v>
      </c>
      <c r="AM146" s="81" t="s">
        <v>179</v>
      </c>
      <c r="AN146" s="81">
        <v>0</v>
      </c>
      <c r="AO146" s="80">
        <f t="shared" si="2"/>
        <v>-6.9999999999481588E-4</v>
      </c>
    </row>
    <row r="147" spans="1:41">
      <c r="A147" s="81" t="s">
        <v>297</v>
      </c>
      <c r="B147" s="81" t="s">
        <v>298</v>
      </c>
      <c r="C147" s="81" t="s">
        <v>168</v>
      </c>
      <c r="D147" s="81" t="s">
        <v>169</v>
      </c>
      <c r="E147" s="81" t="s">
        <v>81</v>
      </c>
      <c r="F147" s="81" t="s">
        <v>81</v>
      </c>
      <c r="G147" s="81" t="s">
        <v>299</v>
      </c>
      <c r="H147" s="81">
        <v>45</v>
      </c>
      <c r="I147" s="81">
        <v>44652</v>
      </c>
      <c r="J147" s="81"/>
      <c r="K147" s="81" t="s">
        <v>300</v>
      </c>
      <c r="L147" s="81">
        <v>0.48770000000000002</v>
      </c>
      <c r="M147" s="81">
        <v>7.5</v>
      </c>
      <c r="N147" s="81" t="s">
        <v>78</v>
      </c>
      <c r="O147" s="81" t="s">
        <v>275</v>
      </c>
      <c r="P147" s="81" t="s">
        <v>650</v>
      </c>
      <c r="Q147" s="81">
        <v>44846</v>
      </c>
      <c r="R147" s="81" t="s">
        <v>173</v>
      </c>
      <c r="S147" s="81"/>
      <c r="T147" s="81" t="s">
        <v>173</v>
      </c>
      <c r="U147" s="81"/>
      <c r="V147" s="81"/>
      <c r="W147" s="81">
        <v>708.1</v>
      </c>
      <c r="X147" s="81">
        <v>59800</v>
      </c>
      <c r="Y147" s="81">
        <v>345.34</v>
      </c>
      <c r="Z147" s="81">
        <v>5310.75</v>
      </c>
      <c r="AA147" s="81" t="s">
        <v>651</v>
      </c>
      <c r="AB147" s="81" t="s">
        <v>208</v>
      </c>
      <c r="AC147" s="81" t="s">
        <v>652</v>
      </c>
      <c r="AD147" s="81" t="s">
        <v>653</v>
      </c>
      <c r="AE147" s="81" t="s">
        <v>654</v>
      </c>
      <c r="AF147" s="81" t="s">
        <v>210</v>
      </c>
      <c r="AG147" s="81" t="s">
        <v>655</v>
      </c>
      <c r="AH147" s="81" t="s">
        <v>209</v>
      </c>
      <c r="AI147" s="81" t="s">
        <v>210</v>
      </c>
      <c r="AJ147" s="81" t="s">
        <v>205</v>
      </c>
      <c r="AK147" s="81">
        <v>45048.25</v>
      </c>
      <c r="AL147" s="81" t="s">
        <v>178</v>
      </c>
      <c r="AM147" s="81" t="s">
        <v>179</v>
      </c>
      <c r="AN147" s="81">
        <v>0</v>
      </c>
      <c r="AO147" s="80">
        <f t="shared" si="2"/>
        <v>3.7000000003217792E-4</v>
      </c>
    </row>
    <row r="148" spans="1:41">
      <c r="A148" s="81" t="s">
        <v>297</v>
      </c>
      <c r="B148" s="81" t="s">
        <v>298</v>
      </c>
      <c r="C148" s="81" t="s">
        <v>168</v>
      </c>
      <c r="D148" s="81" t="s">
        <v>169</v>
      </c>
      <c r="E148" s="81" t="s">
        <v>81</v>
      </c>
      <c r="F148" s="81" t="s">
        <v>81</v>
      </c>
      <c r="G148" s="81" t="s">
        <v>299</v>
      </c>
      <c r="H148" s="81">
        <v>45</v>
      </c>
      <c r="I148" s="81">
        <v>44652</v>
      </c>
      <c r="J148" s="81"/>
      <c r="K148" s="81" t="s">
        <v>300</v>
      </c>
      <c r="L148" s="81">
        <v>0.48770000000000002</v>
      </c>
      <c r="M148" s="81">
        <v>7.5</v>
      </c>
      <c r="N148" s="81" t="s">
        <v>78</v>
      </c>
      <c r="O148" s="81" t="s">
        <v>275</v>
      </c>
      <c r="P148" s="81" t="s">
        <v>201</v>
      </c>
      <c r="Q148" s="81">
        <v>45022</v>
      </c>
      <c r="R148" s="81" t="s">
        <v>173</v>
      </c>
      <c r="S148" s="81"/>
      <c r="T148" s="81" t="s">
        <v>173</v>
      </c>
      <c r="U148" s="81"/>
      <c r="V148" s="81"/>
      <c r="W148" s="81">
        <v>41.6</v>
      </c>
      <c r="X148" s="81">
        <v>1980</v>
      </c>
      <c r="Y148" s="81">
        <v>20.27</v>
      </c>
      <c r="Z148" s="81">
        <v>311.7</v>
      </c>
      <c r="AA148" s="81" t="s">
        <v>644</v>
      </c>
      <c r="AB148" s="81" t="s">
        <v>174</v>
      </c>
      <c r="AC148" s="81" t="s">
        <v>645</v>
      </c>
      <c r="AD148" s="81" t="s">
        <v>646</v>
      </c>
      <c r="AE148" s="81" t="s">
        <v>647</v>
      </c>
      <c r="AF148" s="81" t="s">
        <v>175</v>
      </c>
      <c r="AG148" s="81" t="s">
        <v>648</v>
      </c>
      <c r="AH148" s="81" t="s">
        <v>175</v>
      </c>
      <c r="AI148" s="81" t="s">
        <v>175</v>
      </c>
      <c r="AJ148" s="81" t="s">
        <v>177</v>
      </c>
      <c r="AK148" s="81">
        <v>45085.125</v>
      </c>
      <c r="AL148" s="81" t="s">
        <v>178</v>
      </c>
      <c r="AM148" s="81" t="s">
        <v>179</v>
      </c>
      <c r="AN148" s="81">
        <v>0</v>
      </c>
      <c r="AO148" s="80">
        <f t="shared" si="2"/>
        <v>1.8320000000002779E-2</v>
      </c>
    </row>
    <row r="149" spans="1:41">
      <c r="A149" s="81" t="s">
        <v>297</v>
      </c>
      <c r="B149" s="81" t="s">
        <v>298</v>
      </c>
      <c r="C149" s="81" t="s">
        <v>168</v>
      </c>
      <c r="D149" s="81" t="s">
        <v>169</v>
      </c>
      <c r="E149" s="81" t="s">
        <v>81</v>
      </c>
      <c r="F149" s="81" t="s">
        <v>81</v>
      </c>
      <c r="G149" s="81" t="s">
        <v>299</v>
      </c>
      <c r="H149" s="81">
        <v>45</v>
      </c>
      <c r="I149" s="81">
        <v>44652</v>
      </c>
      <c r="J149" s="81"/>
      <c r="K149" s="81" t="s">
        <v>300</v>
      </c>
      <c r="L149" s="81">
        <v>0.48770000000000002</v>
      </c>
      <c r="M149" s="81">
        <v>7.5</v>
      </c>
      <c r="N149" s="81" t="s">
        <v>78</v>
      </c>
      <c r="O149" s="81" t="s">
        <v>275</v>
      </c>
      <c r="P149" s="81" t="s">
        <v>649</v>
      </c>
      <c r="Q149" s="81">
        <v>44901</v>
      </c>
      <c r="R149" s="81" t="s">
        <v>173</v>
      </c>
      <c r="S149" s="81"/>
      <c r="T149" s="81" t="s">
        <v>173</v>
      </c>
      <c r="U149" s="81"/>
      <c r="V149" s="81"/>
      <c r="W149" s="81">
        <v>18.190000000000001</v>
      </c>
      <c r="X149" s="81">
        <v>475</v>
      </c>
      <c r="Y149" s="81">
        <v>8.8699999999999992</v>
      </c>
      <c r="Z149" s="81">
        <v>136.43</v>
      </c>
      <c r="AA149" s="81" t="s">
        <v>279</v>
      </c>
      <c r="AB149" s="81" t="s">
        <v>174</v>
      </c>
      <c r="AC149" s="81" t="s">
        <v>656</v>
      </c>
      <c r="AD149" s="81" t="s">
        <v>318</v>
      </c>
      <c r="AE149" s="81" t="s">
        <v>319</v>
      </c>
      <c r="AF149" s="81" t="s">
        <v>175</v>
      </c>
      <c r="AG149" s="81" t="s">
        <v>281</v>
      </c>
      <c r="AH149" s="81" t="s">
        <v>175</v>
      </c>
      <c r="AI149" s="81" t="s">
        <v>175</v>
      </c>
      <c r="AJ149" s="81" t="s">
        <v>177</v>
      </c>
      <c r="AK149" s="81">
        <v>45003.25</v>
      </c>
      <c r="AL149" s="81" t="s">
        <v>178</v>
      </c>
      <c r="AM149" s="81" t="s">
        <v>179</v>
      </c>
      <c r="AN149" s="81">
        <v>0</v>
      </c>
      <c r="AO149" s="80">
        <f t="shared" si="2"/>
        <v>1.2630000000015684E-3</v>
      </c>
    </row>
    <row r="150" spans="1:41">
      <c r="A150" s="81" t="s">
        <v>297</v>
      </c>
      <c r="B150" s="81" t="s">
        <v>298</v>
      </c>
      <c r="C150" s="81" t="s">
        <v>168</v>
      </c>
      <c r="D150" s="81" t="s">
        <v>169</v>
      </c>
      <c r="E150" s="81" t="s">
        <v>81</v>
      </c>
      <c r="F150" s="81" t="s">
        <v>81</v>
      </c>
      <c r="G150" s="81" t="s">
        <v>299</v>
      </c>
      <c r="H150" s="81">
        <v>45</v>
      </c>
      <c r="I150" s="81">
        <v>44652</v>
      </c>
      <c r="J150" s="81"/>
      <c r="K150" s="81" t="s">
        <v>300</v>
      </c>
      <c r="L150" s="81">
        <v>0.48770000000000002</v>
      </c>
      <c r="M150" s="81">
        <v>7.5</v>
      </c>
      <c r="N150" s="81" t="s">
        <v>78</v>
      </c>
      <c r="O150" s="81" t="s">
        <v>275</v>
      </c>
      <c r="P150" s="81" t="s">
        <v>649</v>
      </c>
      <c r="Q150" s="81">
        <v>44901</v>
      </c>
      <c r="R150" s="81" t="s">
        <v>173</v>
      </c>
      <c r="S150" s="81"/>
      <c r="T150" s="81" t="s">
        <v>173</v>
      </c>
      <c r="U150" s="81"/>
      <c r="V150" s="81"/>
      <c r="W150" s="81">
        <v>18.190000000000001</v>
      </c>
      <c r="X150" s="81">
        <v>475</v>
      </c>
      <c r="Y150" s="81">
        <v>8.8699999999999992</v>
      </c>
      <c r="Z150" s="81">
        <v>136.43</v>
      </c>
      <c r="AA150" s="81" t="s">
        <v>279</v>
      </c>
      <c r="AB150" s="81" t="s">
        <v>174</v>
      </c>
      <c r="AC150" s="81" t="s">
        <v>656</v>
      </c>
      <c r="AD150" s="81" t="s">
        <v>318</v>
      </c>
      <c r="AE150" s="81" t="s">
        <v>319</v>
      </c>
      <c r="AF150" s="81" t="s">
        <v>175</v>
      </c>
      <c r="AG150" s="81" t="s">
        <v>281</v>
      </c>
      <c r="AH150" s="81" t="s">
        <v>175</v>
      </c>
      <c r="AI150" s="81" t="s">
        <v>175</v>
      </c>
      <c r="AJ150" s="81" t="s">
        <v>177</v>
      </c>
      <c r="AK150" s="81">
        <v>45003.25</v>
      </c>
      <c r="AL150" s="81" t="s">
        <v>178</v>
      </c>
      <c r="AM150" s="81" t="s">
        <v>179</v>
      </c>
      <c r="AN150" s="81">
        <v>0</v>
      </c>
      <c r="AO150" s="80">
        <f t="shared" si="2"/>
        <v>1.2630000000015684E-3</v>
      </c>
    </row>
    <row r="151" spans="1:41">
      <c r="A151" s="81" t="s">
        <v>297</v>
      </c>
      <c r="B151" s="81" t="s">
        <v>298</v>
      </c>
      <c r="C151" s="81" t="s">
        <v>168</v>
      </c>
      <c r="D151" s="81" t="s">
        <v>169</v>
      </c>
      <c r="E151" s="81" t="s">
        <v>81</v>
      </c>
      <c r="F151" s="81" t="s">
        <v>81</v>
      </c>
      <c r="G151" s="81" t="s">
        <v>299</v>
      </c>
      <c r="H151" s="81">
        <v>45</v>
      </c>
      <c r="I151" s="81">
        <v>44652</v>
      </c>
      <c r="J151" s="81"/>
      <c r="K151" s="81" t="s">
        <v>300</v>
      </c>
      <c r="L151" s="81">
        <v>0.48770000000000002</v>
      </c>
      <c r="M151" s="81">
        <v>7.5</v>
      </c>
      <c r="N151" s="81" t="s">
        <v>78</v>
      </c>
      <c r="O151" s="81" t="s">
        <v>275</v>
      </c>
      <c r="P151" s="81" t="s">
        <v>649</v>
      </c>
      <c r="Q151" s="81">
        <v>44901</v>
      </c>
      <c r="R151" s="81" t="s">
        <v>173</v>
      </c>
      <c r="S151" s="81"/>
      <c r="T151" s="81" t="s">
        <v>173</v>
      </c>
      <c r="U151" s="81"/>
      <c r="V151" s="81"/>
      <c r="W151" s="81">
        <v>18.190000000000001</v>
      </c>
      <c r="X151" s="81">
        <v>475</v>
      </c>
      <c r="Y151" s="81">
        <v>8.8699999999999992</v>
      </c>
      <c r="Z151" s="81">
        <v>136.43</v>
      </c>
      <c r="AA151" s="81" t="s">
        <v>279</v>
      </c>
      <c r="AB151" s="81" t="s">
        <v>174</v>
      </c>
      <c r="AC151" s="81" t="s">
        <v>656</v>
      </c>
      <c r="AD151" s="81" t="s">
        <v>318</v>
      </c>
      <c r="AE151" s="81" t="s">
        <v>319</v>
      </c>
      <c r="AF151" s="81" t="s">
        <v>175</v>
      </c>
      <c r="AG151" s="81" t="s">
        <v>281</v>
      </c>
      <c r="AH151" s="81" t="s">
        <v>175</v>
      </c>
      <c r="AI151" s="81" t="s">
        <v>175</v>
      </c>
      <c r="AJ151" s="81" t="s">
        <v>177</v>
      </c>
      <c r="AK151" s="81">
        <v>45003.25</v>
      </c>
      <c r="AL151" s="81" t="s">
        <v>178</v>
      </c>
      <c r="AM151" s="81" t="s">
        <v>179</v>
      </c>
      <c r="AN151" s="81">
        <v>0</v>
      </c>
      <c r="AO151" s="80">
        <f t="shared" si="2"/>
        <v>1.2630000000015684E-3</v>
      </c>
    </row>
    <row r="152" spans="1:41">
      <c r="A152" s="81" t="s">
        <v>297</v>
      </c>
      <c r="B152" s="81" t="s">
        <v>298</v>
      </c>
      <c r="C152" s="81" t="s">
        <v>168</v>
      </c>
      <c r="D152" s="81" t="s">
        <v>169</v>
      </c>
      <c r="E152" s="81" t="s">
        <v>81</v>
      </c>
      <c r="F152" s="81" t="s">
        <v>81</v>
      </c>
      <c r="G152" s="81" t="s">
        <v>299</v>
      </c>
      <c r="H152" s="81">
        <v>45</v>
      </c>
      <c r="I152" s="81">
        <v>44652</v>
      </c>
      <c r="J152" s="81"/>
      <c r="K152" s="81" t="s">
        <v>300</v>
      </c>
      <c r="L152" s="81">
        <v>0.48770000000000002</v>
      </c>
      <c r="M152" s="81">
        <v>7.5</v>
      </c>
      <c r="N152" s="81" t="s">
        <v>78</v>
      </c>
      <c r="O152" s="81" t="s">
        <v>275</v>
      </c>
      <c r="P152" s="81" t="s">
        <v>649</v>
      </c>
      <c r="Q152" s="81">
        <v>44901</v>
      </c>
      <c r="R152" s="81" t="s">
        <v>173</v>
      </c>
      <c r="S152" s="81"/>
      <c r="T152" s="81" t="s">
        <v>173</v>
      </c>
      <c r="U152" s="81"/>
      <c r="V152" s="81"/>
      <c r="W152" s="81">
        <v>18.190000000000001</v>
      </c>
      <c r="X152" s="81">
        <v>475</v>
      </c>
      <c r="Y152" s="81">
        <v>8.8699999999999992</v>
      </c>
      <c r="Z152" s="81">
        <v>136.43</v>
      </c>
      <c r="AA152" s="81" t="s">
        <v>279</v>
      </c>
      <c r="AB152" s="81" t="s">
        <v>174</v>
      </c>
      <c r="AC152" s="81" t="s">
        <v>656</v>
      </c>
      <c r="AD152" s="81" t="s">
        <v>318</v>
      </c>
      <c r="AE152" s="81" t="s">
        <v>319</v>
      </c>
      <c r="AF152" s="81" t="s">
        <v>175</v>
      </c>
      <c r="AG152" s="81" t="s">
        <v>281</v>
      </c>
      <c r="AH152" s="81" t="s">
        <v>175</v>
      </c>
      <c r="AI152" s="81" t="s">
        <v>175</v>
      </c>
      <c r="AJ152" s="81" t="s">
        <v>177</v>
      </c>
      <c r="AK152" s="81">
        <v>45003.25</v>
      </c>
      <c r="AL152" s="81" t="s">
        <v>178</v>
      </c>
      <c r="AM152" s="81" t="s">
        <v>179</v>
      </c>
      <c r="AN152" s="81">
        <v>0</v>
      </c>
      <c r="AO152" s="80">
        <f t="shared" si="2"/>
        <v>1.2630000000015684E-3</v>
      </c>
    </row>
    <row r="153" spans="1:41">
      <c r="A153" s="81" t="s">
        <v>297</v>
      </c>
      <c r="B153" s="81" t="s">
        <v>298</v>
      </c>
      <c r="C153" s="81" t="s">
        <v>168</v>
      </c>
      <c r="D153" s="81" t="s">
        <v>169</v>
      </c>
      <c r="E153" s="81" t="s">
        <v>81</v>
      </c>
      <c r="F153" s="81" t="s">
        <v>81</v>
      </c>
      <c r="G153" s="81" t="s">
        <v>299</v>
      </c>
      <c r="H153" s="81">
        <v>45</v>
      </c>
      <c r="I153" s="81">
        <v>44652</v>
      </c>
      <c r="J153" s="81"/>
      <c r="K153" s="81" t="s">
        <v>300</v>
      </c>
      <c r="L153" s="81">
        <v>0.48770000000000002</v>
      </c>
      <c r="M153" s="81">
        <v>7.5</v>
      </c>
      <c r="N153" s="81" t="s">
        <v>78</v>
      </c>
      <c r="O153" s="81" t="s">
        <v>275</v>
      </c>
      <c r="P153" s="81" t="s">
        <v>649</v>
      </c>
      <c r="Q153" s="81">
        <v>44901</v>
      </c>
      <c r="R153" s="81" t="s">
        <v>173</v>
      </c>
      <c r="S153" s="81"/>
      <c r="T153" s="81" t="s">
        <v>173</v>
      </c>
      <c r="U153" s="81"/>
      <c r="V153" s="81"/>
      <c r="W153" s="81">
        <v>18.190000000000001</v>
      </c>
      <c r="X153" s="81">
        <v>475</v>
      </c>
      <c r="Y153" s="81">
        <v>8.8699999999999992</v>
      </c>
      <c r="Z153" s="81">
        <v>136.43</v>
      </c>
      <c r="AA153" s="81" t="s">
        <v>279</v>
      </c>
      <c r="AB153" s="81" t="s">
        <v>174</v>
      </c>
      <c r="AC153" s="81" t="s">
        <v>656</v>
      </c>
      <c r="AD153" s="81" t="s">
        <v>318</v>
      </c>
      <c r="AE153" s="81" t="s">
        <v>319</v>
      </c>
      <c r="AF153" s="81" t="s">
        <v>175</v>
      </c>
      <c r="AG153" s="81" t="s">
        <v>281</v>
      </c>
      <c r="AH153" s="81" t="s">
        <v>175</v>
      </c>
      <c r="AI153" s="81" t="s">
        <v>175</v>
      </c>
      <c r="AJ153" s="81" t="s">
        <v>177</v>
      </c>
      <c r="AK153" s="81">
        <v>45003.25</v>
      </c>
      <c r="AL153" s="81" t="s">
        <v>178</v>
      </c>
      <c r="AM153" s="81" t="s">
        <v>179</v>
      </c>
      <c r="AN153" s="81">
        <v>0</v>
      </c>
      <c r="AO153" s="80">
        <f t="shared" si="2"/>
        <v>1.2630000000015684E-3</v>
      </c>
    </row>
    <row r="154" spans="1:41">
      <c r="A154" s="81" t="s">
        <v>297</v>
      </c>
      <c r="B154" s="81" t="s">
        <v>298</v>
      </c>
      <c r="C154" s="81" t="s">
        <v>168</v>
      </c>
      <c r="D154" s="81" t="s">
        <v>169</v>
      </c>
      <c r="E154" s="81" t="s">
        <v>81</v>
      </c>
      <c r="F154" s="81" t="s">
        <v>81</v>
      </c>
      <c r="G154" s="81" t="s">
        <v>299</v>
      </c>
      <c r="H154" s="81">
        <v>45</v>
      </c>
      <c r="I154" s="81">
        <v>44652</v>
      </c>
      <c r="J154" s="81"/>
      <c r="K154" s="81" t="s">
        <v>300</v>
      </c>
      <c r="L154" s="81">
        <v>0.48770000000000002</v>
      </c>
      <c r="M154" s="81">
        <v>7.5</v>
      </c>
      <c r="N154" s="81" t="s">
        <v>78</v>
      </c>
      <c r="O154" s="81" t="s">
        <v>275</v>
      </c>
      <c r="P154" s="81" t="s">
        <v>649</v>
      </c>
      <c r="Q154" s="81">
        <v>44901</v>
      </c>
      <c r="R154" s="81" t="s">
        <v>173</v>
      </c>
      <c r="S154" s="81"/>
      <c r="T154" s="81" t="s">
        <v>173</v>
      </c>
      <c r="U154" s="81"/>
      <c r="V154" s="81"/>
      <c r="W154" s="81">
        <v>18.190000000000001</v>
      </c>
      <c r="X154" s="81">
        <v>475</v>
      </c>
      <c r="Y154" s="81">
        <v>8.8699999999999992</v>
      </c>
      <c r="Z154" s="81">
        <v>136.43</v>
      </c>
      <c r="AA154" s="81" t="s">
        <v>279</v>
      </c>
      <c r="AB154" s="81" t="s">
        <v>174</v>
      </c>
      <c r="AC154" s="81" t="s">
        <v>656</v>
      </c>
      <c r="AD154" s="81" t="s">
        <v>318</v>
      </c>
      <c r="AE154" s="81" t="s">
        <v>319</v>
      </c>
      <c r="AF154" s="81" t="s">
        <v>175</v>
      </c>
      <c r="AG154" s="81" t="s">
        <v>281</v>
      </c>
      <c r="AH154" s="81" t="s">
        <v>175</v>
      </c>
      <c r="AI154" s="81" t="s">
        <v>175</v>
      </c>
      <c r="AJ154" s="81" t="s">
        <v>177</v>
      </c>
      <c r="AK154" s="81">
        <v>45003.25</v>
      </c>
      <c r="AL154" s="81" t="s">
        <v>178</v>
      </c>
      <c r="AM154" s="81" t="s">
        <v>179</v>
      </c>
      <c r="AN154" s="81">
        <v>0</v>
      </c>
      <c r="AO154" s="80">
        <f t="shared" si="2"/>
        <v>1.2630000000015684E-3</v>
      </c>
    </row>
    <row r="155" spans="1:4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0">
        <f t="shared" si="2"/>
        <v>0</v>
      </c>
    </row>
    <row r="156" spans="1:4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0">
        <f t="shared" si="2"/>
        <v>0</v>
      </c>
    </row>
    <row r="157" spans="1:4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0">
        <f t="shared" si="2"/>
        <v>0</v>
      </c>
    </row>
    <row r="158" spans="1:4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0">
        <f t="shared" si="2"/>
        <v>0</v>
      </c>
    </row>
    <row r="159" spans="1:4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0">
        <f t="shared" si="2"/>
        <v>0</v>
      </c>
    </row>
    <row r="160" spans="1:4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0">
        <f t="shared" si="2"/>
        <v>0</v>
      </c>
    </row>
    <row r="161" spans="1:4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0">
        <f t="shared" si="2"/>
        <v>0</v>
      </c>
    </row>
    <row r="162" spans="1:4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0">
        <f t="shared" si="2"/>
        <v>0</v>
      </c>
    </row>
    <row r="163" spans="1:4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0">
        <f t="shared" si="2"/>
        <v>0</v>
      </c>
    </row>
    <row r="164" spans="1:4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0">
        <f t="shared" si="2"/>
        <v>0</v>
      </c>
    </row>
    <row r="165" spans="1:4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0">
        <f t="shared" si="2"/>
        <v>0</v>
      </c>
    </row>
    <row r="166" spans="1:4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0">
        <f t="shared" si="2"/>
        <v>0</v>
      </c>
    </row>
    <row r="167" spans="1:4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0">
        <f t="shared" si="2"/>
        <v>0</v>
      </c>
    </row>
    <row r="168" spans="1:4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0">
        <f t="shared" si="2"/>
        <v>0</v>
      </c>
    </row>
    <row r="169" spans="1:4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0">
        <f t="shared" si="2"/>
        <v>0</v>
      </c>
    </row>
    <row r="170" spans="1:4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0">
        <f t="shared" si="2"/>
        <v>0</v>
      </c>
    </row>
    <row r="171" spans="1:4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0">
        <f t="shared" si="2"/>
        <v>0</v>
      </c>
    </row>
    <row r="172" spans="1:4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0">
        <f t="shared" si="2"/>
        <v>0</v>
      </c>
    </row>
    <row r="173" spans="1:4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0">
        <f t="shared" si="2"/>
        <v>0</v>
      </c>
    </row>
    <row r="174" spans="1:4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0">
        <f t="shared" si="2"/>
        <v>0</v>
      </c>
    </row>
    <row r="175" spans="1:4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0">
        <f t="shared" si="2"/>
        <v>0</v>
      </c>
    </row>
    <row r="176" spans="1:4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0">
        <f t="shared" si="2"/>
        <v>0</v>
      </c>
    </row>
    <row r="177" spans="1:4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0">
        <f t="shared" si="2"/>
        <v>0</v>
      </c>
    </row>
    <row r="178" spans="1:4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0">
        <f t="shared" si="2"/>
        <v>0</v>
      </c>
    </row>
    <row r="179" spans="1:4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0">
        <f t="shared" si="2"/>
        <v>0</v>
      </c>
    </row>
    <row r="180" spans="1:4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0">
        <f t="shared" si="2"/>
        <v>0</v>
      </c>
    </row>
    <row r="181" spans="1:4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0">
        <f t="shared" si="2"/>
        <v>0</v>
      </c>
    </row>
    <row r="182" spans="1:4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0">
        <f t="shared" si="2"/>
        <v>0</v>
      </c>
    </row>
    <row r="183" spans="1:4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0">
        <f t="shared" si="2"/>
        <v>0</v>
      </c>
    </row>
    <row r="184" spans="1:4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0">
        <f t="shared" si="2"/>
        <v>0</v>
      </c>
    </row>
    <row r="185" spans="1:4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0">
        <f t="shared" si="2"/>
        <v>0</v>
      </c>
    </row>
    <row r="186" spans="1:4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0">
        <f t="shared" si="2"/>
        <v>0</v>
      </c>
    </row>
    <row r="187" spans="1:4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0">
        <f t="shared" si="2"/>
        <v>0</v>
      </c>
    </row>
    <row r="188" spans="1:4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0">
        <f t="shared" si="2"/>
        <v>0</v>
      </c>
    </row>
    <row r="189" spans="1:4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0">
        <f t="shared" si="2"/>
        <v>0</v>
      </c>
    </row>
    <row r="190" spans="1:4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0">
        <f t="shared" si="2"/>
        <v>0</v>
      </c>
    </row>
    <row r="191" spans="1:4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0">
        <f t="shared" si="2"/>
        <v>0</v>
      </c>
    </row>
    <row r="192" spans="1:4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0">
        <f t="shared" si="2"/>
        <v>0</v>
      </c>
    </row>
    <row r="193" spans="1:4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0">
        <f t="shared" si="2"/>
        <v>0</v>
      </c>
    </row>
    <row r="194" spans="1:4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0">
        <f t="shared" si="2"/>
        <v>0</v>
      </c>
    </row>
    <row r="195" spans="1:4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0">
        <f t="shared" ref="AO195:AO258" si="3">(L195*W195)-Y195</f>
        <v>0</v>
      </c>
    </row>
    <row r="196" spans="1:4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0">
        <f t="shared" si="3"/>
        <v>0</v>
      </c>
    </row>
    <row r="197" spans="1:4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0">
        <f t="shared" si="3"/>
        <v>0</v>
      </c>
    </row>
    <row r="198" spans="1:4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0">
        <f t="shared" si="3"/>
        <v>0</v>
      </c>
    </row>
    <row r="199" spans="1:4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0">
        <f t="shared" si="3"/>
        <v>0</v>
      </c>
    </row>
    <row r="200" spans="1:4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0">
        <f t="shared" si="3"/>
        <v>0</v>
      </c>
    </row>
    <row r="201" spans="1:4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0">
        <f t="shared" si="3"/>
        <v>0</v>
      </c>
    </row>
    <row r="202" spans="1:4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0">
        <f t="shared" si="3"/>
        <v>0</v>
      </c>
    </row>
    <row r="203" spans="1:4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0">
        <f t="shared" si="3"/>
        <v>0</v>
      </c>
    </row>
    <row r="204" spans="1:4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0">
        <f t="shared" si="3"/>
        <v>0</v>
      </c>
    </row>
    <row r="205" spans="1:4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0">
        <f t="shared" si="3"/>
        <v>0</v>
      </c>
    </row>
    <row r="206" spans="1:4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0">
        <f t="shared" si="3"/>
        <v>0</v>
      </c>
    </row>
    <row r="207" spans="1:4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0">
        <f t="shared" si="3"/>
        <v>0</v>
      </c>
    </row>
    <row r="208" spans="1:4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0">
        <f t="shared" si="3"/>
        <v>0</v>
      </c>
    </row>
    <row r="209" spans="1:4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0">
        <f t="shared" si="3"/>
        <v>0</v>
      </c>
    </row>
    <row r="210" spans="1:4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0">
        <f t="shared" si="3"/>
        <v>0</v>
      </c>
    </row>
    <row r="211" spans="1:4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0">
        <f t="shared" si="3"/>
        <v>0</v>
      </c>
    </row>
    <row r="212" spans="1:4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0">
        <f t="shared" si="3"/>
        <v>0</v>
      </c>
    </row>
    <row r="213" spans="1:4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0">
        <f t="shared" si="3"/>
        <v>0</v>
      </c>
    </row>
    <row r="214" spans="1:4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0">
        <f t="shared" si="3"/>
        <v>0</v>
      </c>
    </row>
    <row r="215" spans="1:4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0">
        <f t="shared" si="3"/>
        <v>0</v>
      </c>
    </row>
    <row r="216" spans="1:4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0">
        <f t="shared" si="3"/>
        <v>0</v>
      </c>
    </row>
    <row r="217" spans="1:4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0">
        <f t="shared" si="3"/>
        <v>0</v>
      </c>
    </row>
    <row r="218" spans="1:4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0">
        <f t="shared" si="3"/>
        <v>0</v>
      </c>
    </row>
    <row r="219" spans="1:4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0">
        <f t="shared" si="3"/>
        <v>0</v>
      </c>
    </row>
    <row r="220" spans="1:4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0">
        <f t="shared" si="3"/>
        <v>0</v>
      </c>
    </row>
    <row r="221" spans="1:4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0">
        <f t="shared" si="3"/>
        <v>0</v>
      </c>
    </row>
    <row r="222" spans="1:4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0">
        <f t="shared" si="3"/>
        <v>0</v>
      </c>
    </row>
    <row r="223" spans="1:4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0">
        <f t="shared" si="3"/>
        <v>0</v>
      </c>
    </row>
    <row r="224" spans="1:4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0">
        <f t="shared" si="3"/>
        <v>0</v>
      </c>
    </row>
    <row r="225" spans="1:4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0">
        <f t="shared" si="3"/>
        <v>0</v>
      </c>
    </row>
    <row r="226" spans="1:4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0">
        <f t="shared" si="3"/>
        <v>0</v>
      </c>
    </row>
    <row r="227" spans="1:4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0">
        <f t="shared" si="3"/>
        <v>0</v>
      </c>
    </row>
    <row r="228" spans="1:4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0">
        <f t="shared" si="3"/>
        <v>0</v>
      </c>
    </row>
    <row r="229" spans="1:4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0">
        <f t="shared" si="3"/>
        <v>0</v>
      </c>
    </row>
    <row r="230" spans="1:4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0">
        <f t="shared" si="3"/>
        <v>0</v>
      </c>
    </row>
    <row r="231" spans="1:4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0">
        <f t="shared" si="3"/>
        <v>0</v>
      </c>
    </row>
    <row r="232" spans="1:4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0">
        <f t="shared" si="3"/>
        <v>0</v>
      </c>
    </row>
    <row r="233" spans="1:4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0">
        <f t="shared" si="3"/>
        <v>0</v>
      </c>
    </row>
    <row r="234" spans="1:4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0">
        <f t="shared" si="3"/>
        <v>0</v>
      </c>
    </row>
    <row r="235" spans="1:4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0">
        <f t="shared" si="3"/>
        <v>0</v>
      </c>
    </row>
    <row r="236" spans="1:4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0">
        <f t="shared" si="3"/>
        <v>0</v>
      </c>
    </row>
    <row r="237" spans="1:4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0">
        <f t="shared" si="3"/>
        <v>0</v>
      </c>
    </row>
    <row r="238" spans="1:4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0">
        <f t="shared" si="3"/>
        <v>0</v>
      </c>
    </row>
    <row r="239" spans="1:4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0">
        <f t="shared" si="3"/>
        <v>0</v>
      </c>
    </row>
    <row r="240" spans="1:4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0">
        <f t="shared" si="3"/>
        <v>0</v>
      </c>
    </row>
    <row r="241" spans="1:4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0">
        <f t="shared" si="3"/>
        <v>0</v>
      </c>
    </row>
    <row r="242" spans="1:4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0">
        <f t="shared" si="3"/>
        <v>0</v>
      </c>
    </row>
    <row r="243" spans="1:4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0">
        <f t="shared" si="3"/>
        <v>0</v>
      </c>
    </row>
    <row r="244" spans="1:4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0">
        <f t="shared" si="3"/>
        <v>0</v>
      </c>
    </row>
    <row r="245" spans="1:4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0">
        <f t="shared" si="3"/>
        <v>0</v>
      </c>
    </row>
    <row r="246" spans="1:4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0">
        <f t="shared" si="3"/>
        <v>0</v>
      </c>
    </row>
    <row r="247" spans="1:4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0">
        <f t="shared" si="3"/>
        <v>0</v>
      </c>
    </row>
    <row r="248" spans="1:4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0">
        <f t="shared" si="3"/>
        <v>0</v>
      </c>
    </row>
    <row r="249" spans="1:4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0">
        <f t="shared" si="3"/>
        <v>0</v>
      </c>
    </row>
    <row r="250" spans="1:4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0">
        <f t="shared" si="3"/>
        <v>0</v>
      </c>
    </row>
    <row r="251" spans="1:4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0">
        <f t="shared" si="3"/>
        <v>0</v>
      </c>
    </row>
    <row r="252" spans="1:4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0">
        <f t="shared" si="3"/>
        <v>0</v>
      </c>
    </row>
    <row r="253" spans="1:4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0">
        <f t="shared" si="3"/>
        <v>0</v>
      </c>
    </row>
    <row r="254" spans="1:4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0">
        <f t="shared" si="3"/>
        <v>0</v>
      </c>
    </row>
    <row r="255" spans="1:4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0">
        <f t="shared" si="3"/>
        <v>0</v>
      </c>
    </row>
    <row r="256" spans="1:4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0">
        <f t="shared" si="3"/>
        <v>0</v>
      </c>
    </row>
    <row r="257" spans="1:4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0">
        <f t="shared" si="3"/>
        <v>0</v>
      </c>
    </row>
    <row r="258" spans="1:4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0">
        <f t="shared" si="3"/>
        <v>0</v>
      </c>
    </row>
    <row r="259" spans="1:4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0">
        <f t="shared" ref="AO259:AO285" si="4">(L259*W259)-Y259</f>
        <v>0</v>
      </c>
    </row>
    <row r="260" spans="1:4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0">
        <f t="shared" si="4"/>
        <v>0</v>
      </c>
    </row>
    <row r="261" spans="1:4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0">
        <f t="shared" si="4"/>
        <v>0</v>
      </c>
    </row>
    <row r="262" spans="1:4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0">
        <f t="shared" si="4"/>
        <v>0</v>
      </c>
    </row>
    <row r="263" spans="1:4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0">
        <f t="shared" si="4"/>
        <v>0</v>
      </c>
    </row>
    <row r="264" spans="1:4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0">
        <f t="shared" si="4"/>
        <v>0</v>
      </c>
    </row>
    <row r="265" spans="1:4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0">
        <f t="shared" si="4"/>
        <v>0</v>
      </c>
    </row>
    <row r="266" spans="1:4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0">
        <f t="shared" si="4"/>
        <v>0</v>
      </c>
    </row>
    <row r="267" spans="1:4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0">
        <f t="shared" si="4"/>
        <v>0</v>
      </c>
    </row>
    <row r="268" spans="1:4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0">
        <f t="shared" si="4"/>
        <v>0</v>
      </c>
    </row>
    <row r="269" spans="1:4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0">
        <f t="shared" si="4"/>
        <v>0</v>
      </c>
    </row>
    <row r="270" spans="1:4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0">
        <f t="shared" si="4"/>
        <v>0</v>
      </c>
    </row>
    <row r="271" spans="1:4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0">
        <f t="shared" si="4"/>
        <v>0</v>
      </c>
    </row>
    <row r="272" spans="1:4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0">
        <f t="shared" si="4"/>
        <v>0</v>
      </c>
    </row>
    <row r="273" spans="1:4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0">
        <f t="shared" si="4"/>
        <v>0</v>
      </c>
    </row>
    <row r="274" spans="1:4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0">
        <f t="shared" si="4"/>
        <v>0</v>
      </c>
    </row>
    <row r="275" spans="1:4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0">
        <f t="shared" si="4"/>
        <v>0</v>
      </c>
    </row>
    <row r="276" spans="1:4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0">
        <f t="shared" si="4"/>
        <v>0</v>
      </c>
    </row>
    <row r="277" spans="1:4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0">
        <f t="shared" si="4"/>
        <v>0</v>
      </c>
    </row>
    <row r="278" spans="1:4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0">
        <f t="shared" si="4"/>
        <v>0</v>
      </c>
    </row>
    <row r="279" spans="1:4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0">
        <f t="shared" si="4"/>
        <v>0</v>
      </c>
    </row>
    <row r="280" spans="1:4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0">
        <f t="shared" si="4"/>
        <v>0</v>
      </c>
    </row>
    <row r="281" spans="1:4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0">
        <f t="shared" si="4"/>
        <v>0</v>
      </c>
    </row>
    <row r="282" spans="1:4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0">
        <f t="shared" si="4"/>
        <v>0</v>
      </c>
    </row>
    <row r="283" spans="1:4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0">
        <f t="shared" si="4"/>
        <v>0</v>
      </c>
    </row>
    <row r="284" spans="1:4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0">
        <f t="shared" si="4"/>
        <v>0</v>
      </c>
    </row>
    <row r="285" spans="1:4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0">
        <f t="shared" si="4"/>
        <v>0</v>
      </c>
    </row>
    <row r="286" spans="1:4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spans="1:4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spans="1:4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spans="1:40">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spans="1:40">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spans="1:40">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spans="1:40">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spans="1:40">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spans="1:40">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spans="1:40">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spans="1:40">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spans="1:40">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spans="1:40">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spans="1:40">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spans="1:40">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spans="1:40">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spans="1:40">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spans="1:40">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spans="1:40">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spans="1:40">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spans="1:40">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spans="1:40">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spans="1:40">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spans="1:40">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spans="1:40">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spans="1:40">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spans="1:40">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spans="1:40">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spans="1:40">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spans="1:40">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spans="1:40">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spans="1:40">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spans="1:40">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spans="1:40">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spans="1:40">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spans="1:40">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spans="1:40">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spans="1:40">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spans="1:40">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spans="1:40">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spans="1:40">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spans="1:40">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spans="1:40">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spans="1:40">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spans="1:40">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spans="1:40">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spans="1:40">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spans="1:40">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spans="1:40">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spans="1:40">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spans="1:40">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spans="1:40">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spans="1:40">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spans="1:40">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spans="1:40">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spans="1:40">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spans="1:40">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spans="1:40">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spans="1:40">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spans="1:40">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spans="1:40">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spans="1:40">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spans="1:40">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spans="1:40">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spans="1:40">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sheetData>
  <autoFilter ref="A1:AO285" xr:uid="{0398D1F3-BF46-41FD-9FC4-42EF9EEC2D83}"/>
  <phoneticPr fontId="29" type="noConversion"/>
  <dataValidations count="22">
    <dataValidation type="decimal" allowBlank="1" showInputMessage="1" showErrorMessage="1" errorTitle="Value beyond range" error="Incremental Cost must be a number from -1000000000 through 1000000000." promptTitle="Decimal number" prompt="Minimum Value: -1000000000._x000d__x000a_Maximum Value: 1000000000._x000d__x000a_  " sqref="AN2:AN1048576" xr:uid="{1C4D6F9D-8A41-4F60-B38F-3AD0B3D5D910}">
      <formula1>-1000000000</formula1>
      <formula2>1000000000</formula2>
    </dataValidation>
    <dataValidation type="date" operator="greaterThanOrEqual" allowBlank="1" showInputMessage="1" showErrorMessage="1" errorTitle="Invalid Date" error="End Date (Parent Project) (Project) must be in the correct date format." promptTitle="Date" prompt=" " sqref="AK2:AK1048576" xr:uid="{28D51A6A-E1D8-47EB-B069-941F93FEF90F}">
      <formula1>1</formula1>
    </dataValidation>
    <dataValidation allowBlank="1" showInputMessage="1" showErrorMessage="1" error=" " promptTitle="Lookup" prompt="This Parent Site record must already exist in Microsoft Dynamics CRM or in this source file." sqref="AD2:AD1048576" xr:uid="{E6A775A6-F610-4566-8C69-378586DFC225}"/>
    <dataValidation showInputMessage="1" showErrorMessage="1" error=" " promptTitle="Lookup (required)" prompt="This Parent Project record must already exist in Microsoft Dynamics CRM or in this source file." sqref="AC2:AC1048576" xr:uid="{EC3E0616-7E85-4D40-8557-07022494DFFA}"/>
    <dataValidation allowBlank="1" showInputMessage="1" showErrorMessage="1" error=" " promptTitle="Lookup" prompt="This BD Lead (Parent Project) (Project) record must already exist in Microsoft Dynamics CRM or in this source file." sqref="AB2:AB1048576" xr:uid="{79C8D3A6-6B25-4272-8F1B-278ACA012420}"/>
    <dataValidation type="decimal" allowBlank="1" showInputMessage="1" showErrorMessage="1" errorTitle="Value beyond range" error="Current Inc Total must be a number from -1000000000 through 1000000000." promptTitle="Decimal number" prompt="Minimum Value: -1000000000._x000d__x000a_Maximum Value: 1000000000._x000d__x000a_  " sqref="Z2:Z1048576" xr:uid="{C39D7945-D615-4013-A289-A61D7C965A0C}">
      <formula1>-1000000000</formula1>
      <formula2>1000000000</formula2>
    </dataValidation>
    <dataValidation type="decimal" allowBlank="1" showInputMessage="1" showErrorMessage="1" errorTitle="Value beyond range" error="Current Savings thm must be a number from -1000000000 through 1000000000." promptTitle="Decimal number" prompt="Minimum Value: -1000000000._x000d__x000a_Maximum Value: 1000000000._x000d__x000a_  " sqref="Y2:Y1048576" xr:uid="{37F57A4A-71E0-40A4-8171-9AE0B3B4439F}">
      <formula1>-1000000000</formula1>
      <formula2>1000000000</formula2>
    </dataValidation>
    <dataValidation type="decimal" allowBlank="1" showInputMessage="1" showErrorMessage="1" errorTitle="Value beyond range" error="Cost Total must be a number from -1000000000 through 1000000000." promptTitle="Decimal number" prompt="Minimum Value: -1000000000._x000d__x000a_Maximum Value: 1000000000._x000d__x000a_  " sqref="X2:X1048576" xr:uid="{331F9875-6550-49A8-B871-BDC48ED715DE}">
      <formula1>-1000000000</formula1>
      <formula2>1000000000</formula2>
    </dataValidation>
    <dataValidation type="decimal" allowBlank="1" showInputMessage="1" showErrorMessage="1" errorTitle="Value beyond range" error="Current Units must be a number from -1000000000 through 1000000000." promptTitle="Decimal number" prompt="Minimum Value: -1000000000._x000d__x000a_Maximum Value: 1000000000._x000d__x000a_  " sqref="W2:W1048576" xr:uid="{16794936-E0D2-44D5-BFC5-152D43A720BF}">
      <formula1>-1000000000</formula1>
      <formula2>1000000000</formula2>
    </dataValidation>
    <dataValidation type="decimal" allowBlank="1" showInputMessage="1" showErrorMessage="1" errorTitle="Value beyond range" error="R-Value Installed must be a number from -1000000000 through 1000000000." promptTitle="Decimal number" prompt="Minimum Value: -1000000000._x000d__x000a_Maximum Value: 1000000000._x000d__x000a_  " sqref="V2:V1048576" xr:uid="{A4410385-9423-49E4-AF3C-3B50FAC8AE39}">
      <formula1>-1000000000</formula1>
      <formula2>1000000000</formula2>
    </dataValidation>
    <dataValidation type="decimal" allowBlank="1" showInputMessage="1" showErrorMessage="1" errorTitle="Value beyond range" error="R-Value Base must be a number from -1000000000 through 1000000000." promptTitle="Decimal number" prompt="Minimum Value: -1000000000._x000d__x000a_Maximum Value: 1000000000._x000d__x000a_  " sqref="U2:U1048576" xr:uid="{20E39DB7-9875-403A-9B34-2D6CC97726B0}">
      <formula1>-1000000000</formula1>
      <formula2>1000000000</formula2>
    </dataValidation>
    <dataValidation type="decimal" allowBlank="1" showInputMessage="1" showErrorMessage="1" errorTitle="Value beyond range" error="AFUE Eff must be a number from -1000000000 through 1000000000." promptTitle="Decimal number" prompt="Minimum Value: -1000000000._x000d__x000a_Maximum Value: 1000000000._x000d__x000a_  " sqref="S2:S1048576" xr:uid="{264819CE-31B7-49BA-85CB-7E8F87F8FF5C}">
      <formula1>-1000000000</formula1>
      <formula2>1000000000</formula2>
    </dataValidation>
    <dataValidation type="date" operator="greaterThanOrEqual" showInputMessage="1" showErrorMessage="1" errorTitle="Invalid Date" error="Install Date must be in the correct date format." promptTitle="Date (required)" prompt=" " sqref="Q2:Q1048576" xr:uid="{08EA7F51-9FA7-454D-90F8-378CE7EB2815}">
      <formula1>1</formula1>
    </dataValidation>
    <dataValidation showInputMessage="1" showErrorMessage="1" error=" " promptTitle="Lookup (required)" prompt="This Installer/Trade Ally record must already exist in Microsoft Dynamics CRM or in this source file." sqref="P2:P1048576" xr:uid="{7D53D442-558A-455D-A5A8-69D277FAE703}"/>
    <dataValidation type="textLength" operator="lessThanOrEqual" allowBlank="1" showInputMessage="1" showErrorMessage="1" errorTitle="Length Exceeded" error="This value must be less than or equal to 2000 characters long." promptTitle="Text" prompt="Maximum Length: 2000 characters." sqref="O2:O1048576" xr:uid="{E9B860F8-2FE3-4394-92D9-114F7AF2A36E}">
      <formula1>2000</formula1>
    </dataValidation>
    <dataValidation type="decimal" allowBlank="1" showInputMessage="1" showErrorMessage="1" errorTitle="Value beyond range" error="Incentive Per Unit must be a number from -1000000000 through 1000000000." promptTitle="Decimal number" prompt="Minimum Value: -1000000000._x000d__x000a_Maximum Value: 1000000000._x000d__x000a_  " sqref="M2:M1048576" xr:uid="{7EAC1E9F-FCD6-40B6-97C9-FCDB4D8E99DD}">
      <formula1>-1000000000</formula1>
      <formula2>1000000000</formula2>
    </dataValidation>
    <dataValidation type="decimal" allowBlank="1" showInputMessage="1" showErrorMessage="1" errorTitle="Value beyond range" error="Therm Savings Per Unit must be a number from -1000000000 through 1000000000." promptTitle="Decimal number" prompt="Minimum Value: -1000000000._x000d__x000a_Maximum Value: 1000000000._x000d__x000a_  " sqref="L2:L1048576" xr:uid="{274D51B5-06A8-4EBD-B9A0-1A2555C981FF}">
      <formula1>-1000000000</formula1>
      <formula2>1000000000</formula2>
    </dataValidation>
    <dataValidation type="date" operator="greaterThanOrEqual" allowBlank="1" showInputMessage="1" showErrorMessage="1" errorTitle="Invalid Date" error="Effective To must be in the correct date format." promptTitle="Date" prompt=" " sqref="J2:J1048576" xr:uid="{29DCA74C-2838-40E4-9EC0-83201E624204}">
      <formula1>1</formula1>
    </dataValidation>
    <dataValidation type="date" operator="greaterThanOrEqual" allowBlank="1" showInputMessage="1" showErrorMessage="1" errorTitle="Invalid Date" error="Effective From must be in the correct date format." promptTitle="Date" prompt=" " sqref="I2:I1048576" xr:uid="{D9BF042D-08C7-4C10-B551-CFDB74C17CE9}">
      <formula1>1</formula1>
    </dataValidation>
    <dataValidation type="decimal" allowBlank="1" showInputMessage="1" showErrorMessage="1" errorTitle="Value beyond range" error="Measure Life must be a number from -1000000000 through 1000000000." promptTitle="Decimal number" prompt="Minimum Value: -1000000000._x000d__x000a_Maximum Value: 1000000000._x000d__x000a_  " sqref="H2:H1048576" xr:uid="{B871F84E-3710-47CE-ACA2-0C339C27120A}">
      <formula1>-1000000000</formula1>
      <formula2>1000000000</formula2>
    </dataValidation>
    <dataValidation type="textLength" operator="lessThanOrEqual" allowBlank="1" showInputMessage="1" showErrorMessage="1" errorTitle="Length Exceeded" error="This value must be less than or equal to 100 characters long." promptTitle="Text" prompt="Maximum Length: 100 characters." sqref="B2:B1048576 AM2:AM1048576 AG2:AG1048576 AE2:AE1048576 AA2:AA1048576 T2:T1048576 R2:R1048576 N2:N1048576 K2:K1048576 E2:G1048576" xr:uid="{8D8285E9-5470-4AA0-825C-DACF669D0BCE}">
      <formula1>100</formula1>
    </dataValidation>
    <dataValidation allowBlank="1" showInputMessage="1" showErrorMessage="1" error=" " promptTitle="Lookup" prompt="This Measure Selector record must already exist in Microsoft Dynamics CRM or in this source file." sqref="A2:A1048576" xr:uid="{DDAACE0D-6D08-4179-AAD4-CD04DCC7EEEA}"/>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63CF-F578-485F-AFA1-578B215EC795}">
  <dimension ref="B1:AE74"/>
  <sheetViews>
    <sheetView showGridLines="0" zoomScale="80" zoomScaleNormal="80" workbookViewId="0">
      <pane xSplit="6" ySplit="3" topLeftCell="G4" activePane="bottomRight" state="frozen"/>
      <selection pane="topRight" activeCell="G1" sqref="G1"/>
      <selection pane="bottomLeft" activeCell="A4" sqref="A4"/>
      <selection pane="bottomRight" activeCell="G20" sqref="G20"/>
    </sheetView>
  </sheetViews>
  <sheetFormatPr defaultRowHeight="15"/>
  <cols>
    <col min="1" max="1" width="3.5" style="91" customWidth="1"/>
    <col min="2" max="2" width="3.83203125" style="91" customWidth="1"/>
    <col min="3" max="3" width="8.5" style="91" customWidth="1"/>
    <col min="4" max="4" width="14.1640625" style="91" customWidth="1"/>
    <col min="5" max="5" width="57.5" style="91" customWidth="1"/>
    <col min="6" max="6" width="52" style="91" bestFit="1" customWidth="1"/>
    <col min="7" max="7" width="41.1640625" style="91" customWidth="1"/>
    <col min="8" max="8" width="25.33203125" style="91" customWidth="1"/>
    <col min="9" max="9" width="14" style="91" bestFit="1" customWidth="1"/>
    <col min="10" max="10" width="36.5" style="91" customWidth="1"/>
    <col min="11" max="11" width="47" style="91" customWidth="1"/>
    <col min="12" max="12" width="98" style="91" customWidth="1"/>
    <col min="13" max="14" width="20.5" style="91" customWidth="1"/>
    <col min="15" max="15" width="16.6640625" style="91" customWidth="1"/>
    <col min="16" max="16" width="17" style="91" customWidth="1"/>
    <col min="17" max="17" width="16.1640625" style="91" customWidth="1"/>
    <col min="18" max="18" width="19.33203125" style="91" customWidth="1"/>
    <col min="19" max="21" width="15.6640625" style="91" customWidth="1"/>
    <col min="22" max="22" width="26.5" style="91" customWidth="1"/>
    <col min="23" max="23" width="21.5" style="91" customWidth="1"/>
    <col min="24" max="30" width="25.33203125" style="91" customWidth="1"/>
    <col min="31" max="31" width="10.33203125" style="91" customWidth="1"/>
    <col min="32" max="16384" width="9.33203125" style="91"/>
  </cols>
  <sheetData>
    <row r="1" spans="2:31" ht="15.75" thickBot="1">
      <c r="R1" s="209" t="s">
        <v>657</v>
      </c>
      <c r="S1" s="209"/>
      <c r="T1" s="209"/>
      <c r="U1" s="209"/>
      <c r="V1" s="209"/>
      <c r="W1" s="209"/>
      <c r="X1" s="209"/>
      <c r="Y1" s="209"/>
      <c r="Z1" s="209"/>
      <c r="AA1" s="209"/>
      <c r="AB1" s="209"/>
      <c r="AC1" s="209"/>
      <c r="AD1" s="209"/>
    </row>
    <row r="2" spans="2:31" ht="18.600000000000001" customHeight="1" thickTop="1" thickBot="1">
      <c r="C2" s="210" t="s">
        <v>658</v>
      </c>
      <c r="D2" s="211"/>
      <c r="E2" s="211"/>
      <c r="F2" s="212"/>
      <c r="G2" s="213" t="s">
        <v>659</v>
      </c>
      <c r="H2" s="214"/>
      <c r="I2" s="214"/>
      <c r="J2" s="214"/>
      <c r="K2" s="214"/>
      <c r="L2" s="92"/>
      <c r="M2" s="210" t="s">
        <v>660</v>
      </c>
      <c r="N2" s="211"/>
      <c r="O2" s="211"/>
      <c r="P2" s="211"/>
      <c r="Q2" s="212"/>
      <c r="R2" s="215" t="s">
        <v>661</v>
      </c>
      <c r="S2" s="216"/>
      <c r="T2" s="216"/>
      <c r="U2" s="216"/>
      <c r="V2" s="216"/>
      <c r="W2" s="216"/>
      <c r="X2" s="216"/>
      <c r="Y2" s="217" t="s">
        <v>662</v>
      </c>
      <c r="Z2" s="218"/>
      <c r="AA2" s="217" t="s">
        <v>663</v>
      </c>
      <c r="AB2" s="218"/>
      <c r="AC2" s="217" t="s">
        <v>664</v>
      </c>
      <c r="AD2" s="218"/>
    </row>
    <row r="3" spans="2:31" ht="27" thickTop="1" thickBot="1">
      <c r="B3" s="91" t="s">
        <v>665</v>
      </c>
      <c r="C3" s="93" t="s">
        <v>666</v>
      </c>
      <c r="D3" s="94" t="s">
        <v>667</v>
      </c>
      <c r="E3" s="95" t="s">
        <v>2</v>
      </c>
      <c r="F3" s="95" t="s">
        <v>668</v>
      </c>
      <c r="G3" s="96" t="s">
        <v>669</v>
      </c>
      <c r="H3" s="96" t="s">
        <v>670</v>
      </c>
      <c r="I3" s="96" t="s">
        <v>671</v>
      </c>
      <c r="J3" s="96" t="s">
        <v>672</v>
      </c>
      <c r="K3" s="96" t="s">
        <v>673</v>
      </c>
      <c r="L3" s="97" t="s">
        <v>674</v>
      </c>
      <c r="M3" s="98" t="s">
        <v>675</v>
      </c>
      <c r="N3" s="98" t="s">
        <v>676</v>
      </c>
      <c r="O3" s="98" t="s">
        <v>677</v>
      </c>
      <c r="P3" s="98" t="s">
        <v>678</v>
      </c>
      <c r="Q3" s="98" t="s">
        <v>679</v>
      </c>
      <c r="R3" s="96" t="s">
        <v>680</v>
      </c>
      <c r="S3" s="96" t="s">
        <v>676</v>
      </c>
      <c r="T3" s="96" t="s">
        <v>681</v>
      </c>
      <c r="U3" s="96" t="s">
        <v>682</v>
      </c>
      <c r="V3" s="96" t="s">
        <v>683</v>
      </c>
      <c r="W3" s="96" t="s">
        <v>134</v>
      </c>
      <c r="X3" s="99" t="s">
        <v>684</v>
      </c>
      <c r="Y3" s="100">
        <v>2024</v>
      </c>
      <c r="Z3" s="100">
        <v>2025</v>
      </c>
      <c r="AA3" s="100">
        <v>2024</v>
      </c>
      <c r="AB3" s="100">
        <v>2025</v>
      </c>
      <c r="AC3" s="100">
        <v>2024</v>
      </c>
      <c r="AD3" s="100">
        <v>2025</v>
      </c>
      <c r="AE3" s="101" t="s">
        <v>685</v>
      </c>
    </row>
    <row r="4" spans="2:31" ht="15.75" thickBot="1">
      <c r="B4" s="102" t="str">
        <f>E4&amp;"_"&amp;F4</f>
        <v>Boiler_Minimum 90% Thermal Efficiency and 300 kBtu/hr input</v>
      </c>
      <c r="C4" s="103">
        <v>1</v>
      </c>
      <c r="D4" s="104" t="s">
        <v>686</v>
      </c>
      <c r="E4" s="104" t="s">
        <v>25</v>
      </c>
      <c r="F4" s="104" t="s">
        <v>65</v>
      </c>
      <c r="G4" s="105" t="s">
        <v>25</v>
      </c>
      <c r="H4" s="105" t="s">
        <v>687</v>
      </c>
      <c r="I4" s="105" t="s">
        <v>688</v>
      </c>
      <c r="J4" s="105" t="s">
        <v>689</v>
      </c>
      <c r="K4" s="105" t="s">
        <v>690</v>
      </c>
      <c r="L4" s="106" t="s">
        <v>691</v>
      </c>
      <c r="M4" s="107">
        <v>2.1</v>
      </c>
      <c r="N4" s="107" t="s">
        <v>692</v>
      </c>
      <c r="O4" s="107" t="s">
        <v>693</v>
      </c>
      <c r="P4" s="107" t="s">
        <v>693</v>
      </c>
      <c r="Q4" s="108">
        <v>10</v>
      </c>
      <c r="R4" s="109">
        <v>0.11190631892703917</v>
      </c>
      <c r="S4" s="109" t="s">
        <v>694</v>
      </c>
      <c r="T4" s="110">
        <v>1.7758629074935079</v>
      </c>
      <c r="U4" s="111" t="s">
        <v>692</v>
      </c>
      <c r="V4" s="112">
        <v>1.3575815899374213</v>
      </c>
      <c r="W4" s="113">
        <v>25</v>
      </c>
      <c r="X4" s="114">
        <v>10.245457087567534</v>
      </c>
      <c r="Y4" s="115">
        <v>38.567084101783841</v>
      </c>
      <c r="Z4" s="115">
        <v>40.566939475962272</v>
      </c>
      <c r="AA4" s="116">
        <v>9.2077302021863705</v>
      </c>
      <c r="AB4" s="116">
        <v>9.6851873176952878</v>
      </c>
      <c r="AC4" s="116">
        <v>1.3027566315856414</v>
      </c>
      <c r="AD4" s="116">
        <v>1.3703096994827977</v>
      </c>
      <c r="AE4" s="117" t="s">
        <v>695</v>
      </c>
    </row>
    <row r="5" spans="2:31" ht="15.75" thickBot="1">
      <c r="B5" s="102" t="str">
        <f t="shared" ref="B5:B37" si="0">E5&amp;"_"&amp;F5</f>
        <v>Boiler_Minimum 85% Thermal Efficiency and 300 kBtu/hr input</v>
      </c>
      <c r="C5" s="118">
        <v>2</v>
      </c>
      <c r="D5" s="119" t="s">
        <v>686</v>
      </c>
      <c r="E5" s="119" t="s">
        <v>25</v>
      </c>
      <c r="F5" s="119" t="s">
        <v>301</v>
      </c>
      <c r="G5" s="119" t="s">
        <v>25</v>
      </c>
      <c r="H5" s="119" t="s">
        <v>687</v>
      </c>
      <c r="I5" s="119" t="s">
        <v>688</v>
      </c>
      <c r="J5" s="119" t="s">
        <v>689</v>
      </c>
      <c r="K5" s="119" t="s">
        <v>696</v>
      </c>
      <c r="L5" s="119" t="s">
        <v>691</v>
      </c>
      <c r="M5" s="120">
        <v>1.35</v>
      </c>
      <c r="N5" s="120" t="s">
        <v>692</v>
      </c>
      <c r="O5" s="120" t="s">
        <v>693</v>
      </c>
      <c r="P5" s="120" t="s">
        <v>693</v>
      </c>
      <c r="Q5" s="121">
        <v>6</v>
      </c>
      <c r="R5" s="122">
        <v>3.5779571357624773E-2</v>
      </c>
      <c r="S5" s="122" t="s">
        <v>694</v>
      </c>
      <c r="T5" s="110">
        <v>0.90244915857485231</v>
      </c>
      <c r="U5" s="111" t="s">
        <v>692</v>
      </c>
      <c r="V5" s="123">
        <v>7.326600319155796E-2</v>
      </c>
      <c r="W5" s="124">
        <v>25</v>
      </c>
      <c r="X5" s="114">
        <v>9.1555148442092857</v>
      </c>
      <c r="Y5" s="115">
        <v>38.567084101783841</v>
      </c>
      <c r="Z5" s="115">
        <v>40.566939475962272</v>
      </c>
      <c r="AA5" s="116">
        <v>9.2077302021863705</v>
      </c>
      <c r="AB5" s="116">
        <v>9.6851873176952878</v>
      </c>
      <c r="AC5" s="116">
        <v>1.3027566315856414</v>
      </c>
      <c r="AD5" s="116">
        <v>1.3703096994827977</v>
      </c>
      <c r="AE5" s="117"/>
    </row>
    <row r="6" spans="2:31" ht="15.75" thickBot="1">
      <c r="B6" s="102" t="str">
        <f t="shared" si="0"/>
        <v>Boiler Steam Trap_Minimum 300 kBtu input and steam pressures at 7psig or greater</v>
      </c>
      <c r="C6" s="103">
        <v>3</v>
      </c>
      <c r="D6" s="104" t="s">
        <v>686</v>
      </c>
      <c r="E6" s="104" t="s">
        <v>84</v>
      </c>
      <c r="F6" s="104" t="s">
        <v>96</v>
      </c>
      <c r="G6" s="105" t="s">
        <v>697</v>
      </c>
      <c r="H6" s="105" t="s">
        <v>687</v>
      </c>
      <c r="I6" s="105" t="s">
        <v>688</v>
      </c>
      <c r="J6" s="105" t="s">
        <v>698</v>
      </c>
      <c r="K6" s="105" t="s">
        <v>699</v>
      </c>
      <c r="L6" s="125"/>
      <c r="M6" s="107">
        <v>136.9</v>
      </c>
      <c r="N6" s="107" t="s">
        <v>700</v>
      </c>
      <c r="O6" s="107" t="s">
        <v>693</v>
      </c>
      <c r="P6" s="107" t="s">
        <v>693</v>
      </c>
      <c r="Q6" s="108">
        <v>125</v>
      </c>
      <c r="R6" s="109">
        <v>137.44617346101299</v>
      </c>
      <c r="S6" s="109" t="s">
        <v>700</v>
      </c>
      <c r="T6" s="109">
        <v>137.44617346101299</v>
      </c>
      <c r="U6" s="126" t="s">
        <v>700</v>
      </c>
      <c r="V6" s="112">
        <v>75.61</v>
      </c>
      <c r="W6" s="113">
        <v>6</v>
      </c>
      <c r="X6" s="112">
        <v>69.732542222222222</v>
      </c>
      <c r="Y6" s="127">
        <v>40.228135201444978</v>
      </c>
      <c r="Z6" s="127">
        <v>39.423572497416075</v>
      </c>
      <c r="AA6" s="128">
        <v>5.5001117581950183</v>
      </c>
      <c r="AB6" s="128">
        <v>5.3408493893234574</v>
      </c>
      <c r="AC6" s="128">
        <v>5.5007616160557005</v>
      </c>
      <c r="AD6" s="128">
        <v>5.3421803528604483</v>
      </c>
      <c r="AE6" s="117"/>
    </row>
    <row r="7" spans="2:31" ht="15.75" thickBot="1">
      <c r="B7" s="102" t="str">
        <f t="shared" si="0"/>
        <v>Clothes Washer_1.8 MEF</v>
      </c>
      <c r="C7" s="118">
        <v>4</v>
      </c>
      <c r="D7" s="119" t="s">
        <v>686</v>
      </c>
      <c r="E7" s="119" t="s">
        <v>701</v>
      </c>
      <c r="F7" s="119" t="s">
        <v>702</v>
      </c>
      <c r="G7" s="119" t="s">
        <v>703</v>
      </c>
      <c r="H7" s="119" t="s">
        <v>687</v>
      </c>
      <c r="I7" s="119" t="s">
        <v>688</v>
      </c>
      <c r="J7" s="119" t="s">
        <v>704</v>
      </c>
      <c r="K7" s="119" t="s">
        <v>705</v>
      </c>
      <c r="L7" s="119"/>
      <c r="M7" s="120">
        <v>38.405828480981313</v>
      </c>
      <c r="N7" s="120" t="s">
        <v>706</v>
      </c>
      <c r="O7" s="120" t="s">
        <v>693</v>
      </c>
      <c r="P7" s="120" t="s">
        <v>693</v>
      </c>
      <c r="Q7" s="121">
        <v>135</v>
      </c>
      <c r="R7" s="122">
        <v>38.405828480981313</v>
      </c>
      <c r="S7" s="122" t="s">
        <v>706</v>
      </c>
      <c r="T7" s="122">
        <v>38.405828480981313</v>
      </c>
      <c r="U7" s="121" t="s">
        <v>706</v>
      </c>
      <c r="V7" s="123">
        <v>443.38999999999993</v>
      </c>
      <c r="W7" s="124">
        <v>7.1000000000000005</v>
      </c>
      <c r="X7" s="123">
        <v>133.01757000000001</v>
      </c>
      <c r="Y7" s="129">
        <v>18.38644111742266</v>
      </c>
      <c r="Z7" s="129">
        <v>28.029108014559871</v>
      </c>
      <c r="AA7" s="130">
        <v>0.85247142897118167</v>
      </c>
      <c r="AB7" s="130">
        <v>1.277245027697667</v>
      </c>
      <c r="AC7" s="130">
        <v>0</v>
      </c>
      <c r="AD7" s="130">
        <v>0</v>
      </c>
      <c r="AE7" s="117"/>
    </row>
    <row r="8" spans="2:31" ht="15.75" thickBot="1">
      <c r="B8" s="102" t="str">
        <f t="shared" si="0"/>
        <v>Convection Oven (Grocery)_&gt;= 44% Cooking Efficiency,&lt;= 13,000 Btu/hr Idle Rate</v>
      </c>
      <c r="C8" s="103">
        <v>5</v>
      </c>
      <c r="D8" s="104" t="s">
        <v>686</v>
      </c>
      <c r="E8" s="104" t="s">
        <v>85</v>
      </c>
      <c r="F8" s="104" t="s">
        <v>47</v>
      </c>
      <c r="G8" s="105" t="s">
        <v>707</v>
      </c>
      <c r="H8" s="105" t="s">
        <v>708</v>
      </c>
      <c r="I8" s="105" t="s">
        <v>688</v>
      </c>
      <c r="J8" s="105" t="s">
        <v>709</v>
      </c>
      <c r="K8" s="105" t="s">
        <v>710</v>
      </c>
      <c r="L8" s="125"/>
      <c r="M8" s="107">
        <v>368</v>
      </c>
      <c r="N8" s="107" t="s">
        <v>711</v>
      </c>
      <c r="O8" s="107" t="s">
        <v>693</v>
      </c>
      <c r="P8" s="107" t="s">
        <v>693</v>
      </c>
      <c r="Q8" s="108">
        <v>800</v>
      </c>
      <c r="R8" s="109">
        <v>329.69063227564982</v>
      </c>
      <c r="S8" s="109" t="s">
        <v>711</v>
      </c>
      <c r="T8" s="109">
        <v>329.69063227564982</v>
      </c>
      <c r="U8" s="126" t="s">
        <v>711</v>
      </c>
      <c r="V8" s="112">
        <v>760.73</v>
      </c>
      <c r="W8" s="113">
        <v>10.5</v>
      </c>
      <c r="X8" s="112">
        <v>760.73059999999998</v>
      </c>
      <c r="Y8" s="127">
        <v>1.86044292292598</v>
      </c>
      <c r="Z8" s="127">
        <v>2.6575532046584049</v>
      </c>
      <c r="AA8" s="128">
        <v>0.61337060357222439</v>
      </c>
      <c r="AB8" s="128">
        <v>0.87617039635000893</v>
      </c>
      <c r="AC8" s="128">
        <v>0.61337060357222439</v>
      </c>
      <c r="AD8" s="128">
        <v>0.87617039635000893</v>
      </c>
      <c r="AE8" s="117"/>
    </row>
    <row r="9" spans="2:31" ht="15.75" thickBot="1">
      <c r="B9" s="102" t="str">
        <f t="shared" si="0"/>
        <v>Convection Oven (Lodging)_&gt;= 44% Cooking Efficiency,&lt;= 13,000 Btu/hr Idle Rate</v>
      </c>
      <c r="C9" s="118">
        <v>6</v>
      </c>
      <c r="D9" s="119" t="s">
        <v>686</v>
      </c>
      <c r="E9" s="119" t="s">
        <v>86</v>
      </c>
      <c r="F9" s="119" t="s">
        <v>47</v>
      </c>
      <c r="G9" s="119" t="s">
        <v>707</v>
      </c>
      <c r="H9" s="119" t="s">
        <v>712</v>
      </c>
      <c r="I9" s="119" t="s">
        <v>688</v>
      </c>
      <c r="J9" s="119" t="s">
        <v>709</v>
      </c>
      <c r="K9" s="119" t="s">
        <v>710</v>
      </c>
      <c r="L9" s="119"/>
      <c r="M9" s="120">
        <v>219</v>
      </c>
      <c r="N9" s="120" t="s">
        <v>711</v>
      </c>
      <c r="O9" s="120" t="s">
        <v>693</v>
      </c>
      <c r="P9" s="120" t="s">
        <v>693</v>
      </c>
      <c r="Q9" s="121">
        <v>800</v>
      </c>
      <c r="R9" s="122">
        <v>329.69063227564976</v>
      </c>
      <c r="S9" s="122" t="s">
        <v>711</v>
      </c>
      <c r="T9" s="122">
        <v>329.69063227564976</v>
      </c>
      <c r="U9" s="121" t="s">
        <v>711</v>
      </c>
      <c r="V9" s="123">
        <v>760.73</v>
      </c>
      <c r="W9" s="124">
        <v>10.5</v>
      </c>
      <c r="X9" s="123">
        <v>760.73059999999998</v>
      </c>
      <c r="Y9" s="131">
        <v>0.11168050197242256</v>
      </c>
      <c r="Z9" s="131">
        <v>0.15953022382857557</v>
      </c>
      <c r="AA9" s="132">
        <v>3.6820015308149941E-2</v>
      </c>
      <c r="AB9" s="132">
        <v>5.2595620361119005E-2</v>
      </c>
      <c r="AC9" s="132">
        <v>3.6820015308149941E-2</v>
      </c>
      <c r="AD9" s="132">
        <v>5.2595620361119005E-2</v>
      </c>
      <c r="AE9" s="117"/>
    </row>
    <row r="10" spans="2:31" ht="15.75" thickBot="1">
      <c r="B10" s="102" t="str">
        <f t="shared" si="0"/>
        <v>Convection Oven (Restaurant)_&gt;= 44% Cooking Efficiency,&lt;= 13,000 Btu/hr Idle Rate</v>
      </c>
      <c r="C10" s="103">
        <v>7</v>
      </c>
      <c r="D10" s="104" t="s">
        <v>686</v>
      </c>
      <c r="E10" s="104" t="s">
        <v>46</v>
      </c>
      <c r="F10" s="104" t="s">
        <v>47</v>
      </c>
      <c r="G10" s="105" t="s">
        <v>707</v>
      </c>
      <c r="H10" s="105" t="s">
        <v>713</v>
      </c>
      <c r="I10" s="105" t="s">
        <v>688</v>
      </c>
      <c r="J10" s="105" t="s">
        <v>709</v>
      </c>
      <c r="K10" s="105" t="s">
        <v>710</v>
      </c>
      <c r="L10" s="125"/>
      <c r="M10" s="107">
        <v>649</v>
      </c>
      <c r="N10" s="107" t="s">
        <v>711</v>
      </c>
      <c r="O10" s="107" t="s">
        <v>693</v>
      </c>
      <c r="P10" s="107" t="s">
        <v>693</v>
      </c>
      <c r="Q10" s="108">
        <v>800</v>
      </c>
      <c r="R10" s="109">
        <v>329.69063227564965</v>
      </c>
      <c r="S10" s="109" t="s">
        <v>711</v>
      </c>
      <c r="T10" s="109">
        <v>329.69063227564965</v>
      </c>
      <c r="U10" s="126" t="s">
        <v>711</v>
      </c>
      <c r="V10" s="112">
        <v>760.73</v>
      </c>
      <c r="W10" s="113">
        <v>10.5</v>
      </c>
      <c r="X10" s="112">
        <v>760.73059999999998</v>
      </c>
      <c r="Y10" s="127">
        <v>3.9784515007661758</v>
      </c>
      <c r="Z10" s="127">
        <v>5.6830265552091088</v>
      </c>
      <c r="AA10" s="128">
        <v>1.311658190765608</v>
      </c>
      <c r="AB10" s="128">
        <v>1.8736406182261984</v>
      </c>
      <c r="AC10" s="128">
        <v>1.311658190765608</v>
      </c>
      <c r="AD10" s="128">
        <v>1.8736406182261984</v>
      </c>
      <c r="AE10" s="117"/>
    </row>
    <row r="11" spans="2:31" ht="15.75" thickBot="1">
      <c r="B11" s="102" t="str">
        <f t="shared" si="0"/>
        <v>Convection Oven (School)_&gt;= 44% Cooking Efficiency,&lt;= 13,000 Btu/hr Idle Rate</v>
      </c>
      <c r="C11" s="118">
        <v>8</v>
      </c>
      <c r="D11" s="119" t="s">
        <v>686</v>
      </c>
      <c r="E11" s="119" t="s">
        <v>87</v>
      </c>
      <c r="F11" s="119" t="s">
        <v>47</v>
      </c>
      <c r="G11" s="119" t="s">
        <v>707</v>
      </c>
      <c r="H11" s="119" t="s">
        <v>714</v>
      </c>
      <c r="I11" s="119" t="s">
        <v>688</v>
      </c>
      <c r="J11" s="119" t="s">
        <v>709</v>
      </c>
      <c r="K11" s="119" t="s">
        <v>710</v>
      </c>
      <c r="L11" s="119"/>
      <c r="M11" s="120">
        <v>141</v>
      </c>
      <c r="N11" s="120" t="s">
        <v>711</v>
      </c>
      <c r="O11" s="120" t="s">
        <v>693</v>
      </c>
      <c r="P11" s="120" t="s">
        <v>693</v>
      </c>
      <c r="Q11" s="121">
        <v>800</v>
      </c>
      <c r="R11" s="122">
        <v>329.69063227564976</v>
      </c>
      <c r="S11" s="122" t="s">
        <v>711</v>
      </c>
      <c r="T11" s="122">
        <v>329.69063227564976</v>
      </c>
      <c r="U11" s="121" t="s">
        <v>711</v>
      </c>
      <c r="V11" s="123">
        <v>760.73</v>
      </c>
      <c r="W11" s="124">
        <v>10.5</v>
      </c>
      <c r="X11" s="123">
        <v>760.73059999999998</v>
      </c>
      <c r="Y11" s="131">
        <v>2.0986722621707449E-2</v>
      </c>
      <c r="Z11" s="131">
        <v>2.9978523539372616E-2</v>
      </c>
      <c r="AA11" s="132">
        <v>6.9191258505444109E-3</v>
      </c>
      <c r="AB11" s="132">
        <v>9.8836383803862071E-3</v>
      </c>
      <c r="AC11" s="132">
        <v>6.9191258505444109E-3</v>
      </c>
      <c r="AD11" s="132">
        <v>9.8836383803862071E-3</v>
      </c>
      <c r="AE11" s="117"/>
    </row>
    <row r="12" spans="2:31" ht="15.75" thickBot="1">
      <c r="B12" s="102" t="str">
        <f t="shared" si="0"/>
        <v>DCV_Meet JUARC Guidelines for DCV RTUs in 5-20 ton</v>
      </c>
      <c r="C12" s="103">
        <v>9</v>
      </c>
      <c r="D12" s="104" t="s">
        <v>686</v>
      </c>
      <c r="E12" s="104" t="s">
        <v>44</v>
      </c>
      <c r="F12" s="104" t="s">
        <v>30</v>
      </c>
      <c r="G12" s="105" t="s">
        <v>715</v>
      </c>
      <c r="H12" s="105" t="s">
        <v>687</v>
      </c>
      <c r="I12" s="105" t="s">
        <v>688</v>
      </c>
      <c r="J12" s="105" t="s">
        <v>716</v>
      </c>
      <c r="K12" s="105" t="s">
        <v>717</v>
      </c>
      <c r="L12" s="106" t="s">
        <v>718</v>
      </c>
      <c r="M12" s="107">
        <v>11.304074999999997</v>
      </c>
      <c r="N12" s="107" t="s">
        <v>719</v>
      </c>
      <c r="O12" s="107" t="s">
        <v>693</v>
      </c>
      <c r="P12" s="107" t="s">
        <v>693</v>
      </c>
      <c r="Q12" s="108">
        <v>60</v>
      </c>
      <c r="R12" s="109">
        <v>4.593333333333334E-2</v>
      </c>
      <c r="S12" s="109" t="s">
        <v>720</v>
      </c>
      <c r="T12" s="110">
        <v>11.304074999999997</v>
      </c>
      <c r="U12" s="111" t="s">
        <v>719</v>
      </c>
      <c r="V12" s="114">
        <v>106.81875000000001</v>
      </c>
      <c r="W12" s="113">
        <v>6</v>
      </c>
      <c r="X12" s="114">
        <v>44.861943750000002</v>
      </c>
      <c r="Y12" s="127">
        <v>127265.19039231732</v>
      </c>
      <c r="Z12" s="127">
        <v>213149.86786029991</v>
      </c>
      <c r="AA12" s="128">
        <v>8.6924076042635594</v>
      </c>
      <c r="AB12" s="128">
        <v>15.112156059024144</v>
      </c>
      <c r="AC12" s="128">
        <v>10.76606786860102</v>
      </c>
      <c r="AD12" s="128">
        <v>16.229386157245784</v>
      </c>
      <c r="AE12" s="117"/>
    </row>
    <row r="13" spans="2:31" ht="15.75" thickBot="1">
      <c r="B13" s="102" t="str">
        <f t="shared" si="0"/>
        <v>DHW Recirculation Controls_Add time clock or other schedule control for continuous operation DHW recirculation pump</v>
      </c>
      <c r="C13" s="118">
        <v>10</v>
      </c>
      <c r="D13" s="119" t="s">
        <v>686</v>
      </c>
      <c r="E13" s="119" t="s">
        <v>88</v>
      </c>
      <c r="F13" s="119" t="s">
        <v>98</v>
      </c>
      <c r="G13" s="119" t="s">
        <v>721</v>
      </c>
      <c r="H13" s="119" t="s">
        <v>687</v>
      </c>
      <c r="I13" s="119" t="s">
        <v>688</v>
      </c>
      <c r="J13" s="119" t="s">
        <v>722</v>
      </c>
      <c r="K13" s="119" t="s">
        <v>723</v>
      </c>
      <c r="L13" s="133" t="s">
        <v>724</v>
      </c>
      <c r="M13" s="120">
        <v>72</v>
      </c>
      <c r="N13" s="120" t="s">
        <v>725</v>
      </c>
      <c r="O13" s="120" t="s">
        <v>693</v>
      </c>
      <c r="P13" s="120" t="s">
        <v>693</v>
      </c>
      <c r="Q13" s="121">
        <v>200</v>
      </c>
      <c r="R13" s="122">
        <v>646.52388499057565</v>
      </c>
      <c r="S13" s="122" t="s">
        <v>725</v>
      </c>
      <c r="T13" s="122">
        <v>646.52388499057565</v>
      </c>
      <c r="U13" s="121" t="s">
        <v>725</v>
      </c>
      <c r="V13" s="123">
        <v>2146.2999999999997</v>
      </c>
      <c r="W13" s="124">
        <v>15</v>
      </c>
      <c r="X13" s="123">
        <v>2009.443231101179</v>
      </c>
      <c r="Y13" s="129">
        <v>0</v>
      </c>
      <c r="Z13" s="129">
        <v>0</v>
      </c>
      <c r="AA13" s="130">
        <v>0</v>
      </c>
      <c r="AB13" s="130">
        <v>0</v>
      </c>
      <c r="AC13" s="130">
        <v>0</v>
      </c>
      <c r="AD13" s="130">
        <v>0</v>
      </c>
      <c r="AE13" s="117" t="s">
        <v>726</v>
      </c>
    </row>
    <row r="14" spans="2:31" ht="15.75" thickBot="1">
      <c r="B14" s="102" t="str">
        <f t="shared" si="0"/>
        <v>Domestic Hot Water Tanks - Condensing_Minimum 91% AFUE or 91% Thermal Efficiency</v>
      </c>
      <c r="C14" s="103">
        <v>11</v>
      </c>
      <c r="D14" s="104" t="s">
        <v>686</v>
      </c>
      <c r="E14" s="104" t="s">
        <v>54</v>
      </c>
      <c r="F14" s="104" t="s">
        <v>12</v>
      </c>
      <c r="G14" s="105" t="s">
        <v>727</v>
      </c>
      <c r="H14" s="105" t="s">
        <v>687</v>
      </c>
      <c r="I14" s="105" t="s">
        <v>688</v>
      </c>
      <c r="J14" s="105" t="s">
        <v>689</v>
      </c>
      <c r="K14" s="105" t="s">
        <v>728</v>
      </c>
      <c r="L14" s="106" t="s">
        <v>729</v>
      </c>
      <c r="M14" s="107">
        <v>3.7987415199283809</v>
      </c>
      <c r="N14" s="107" t="s">
        <v>730</v>
      </c>
      <c r="O14" s="107" t="s">
        <v>693</v>
      </c>
      <c r="P14" s="107" t="s">
        <v>693</v>
      </c>
      <c r="Q14" s="108">
        <v>2.5</v>
      </c>
      <c r="R14" s="109">
        <v>5.9408107803419403</v>
      </c>
      <c r="S14" s="109" t="s">
        <v>730</v>
      </c>
      <c r="T14" s="110">
        <v>4.6677798988400987</v>
      </c>
      <c r="U14" s="126" t="s">
        <v>730</v>
      </c>
      <c r="V14" s="114">
        <v>2.5692857142857157</v>
      </c>
      <c r="W14" s="113">
        <v>10</v>
      </c>
      <c r="X14" s="114">
        <v>1.1022368803602836</v>
      </c>
      <c r="Y14" s="127">
        <v>3146.9543637455163</v>
      </c>
      <c r="Z14" s="127">
        <v>3472.1844687802422</v>
      </c>
      <c r="AA14" s="128">
        <v>15.682629772603175</v>
      </c>
      <c r="AB14" s="128">
        <v>17.301577104470724</v>
      </c>
      <c r="AC14" s="128">
        <v>15.682629772603175</v>
      </c>
      <c r="AD14" s="128">
        <v>17.301577104470724</v>
      </c>
      <c r="AE14" s="117" t="s">
        <v>731</v>
      </c>
    </row>
    <row r="15" spans="2:31" ht="15.75" thickBot="1">
      <c r="B15" s="102" t="str">
        <f t="shared" si="0"/>
        <v>Double Rack Oven_&gt;=50% Cooking Efficiency, &lt;=35,000 Btu/hr Idle Rate</v>
      </c>
      <c r="C15" s="118">
        <v>12</v>
      </c>
      <c r="D15" s="119" t="s">
        <v>686</v>
      </c>
      <c r="E15" s="119" t="s">
        <v>23</v>
      </c>
      <c r="F15" s="119" t="s">
        <v>50</v>
      </c>
      <c r="G15" s="119" t="s">
        <v>23</v>
      </c>
      <c r="H15" s="119" t="s">
        <v>687</v>
      </c>
      <c r="I15" s="119" t="s">
        <v>688</v>
      </c>
      <c r="J15" s="119" t="s">
        <v>709</v>
      </c>
      <c r="K15" s="119" t="s">
        <v>732</v>
      </c>
      <c r="L15" s="119"/>
      <c r="M15" s="120">
        <v>1837.5733040599432</v>
      </c>
      <c r="N15" s="120" t="s">
        <v>711</v>
      </c>
      <c r="O15" s="120" t="s">
        <v>693</v>
      </c>
      <c r="P15" s="120" t="s">
        <v>693</v>
      </c>
      <c r="Q15" s="121">
        <v>2500</v>
      </c>
      <c r="R15" s="122">
        <v>1977.8952877832098</v>
      </c>
      <c r="S15" s="122" t="s">
        <v>711</v>
      </c>
      <c r="T15" s="122">
        <v>1977.8952877832098</v>
      </c>
      <c r="U15" s="121" t="s">
        <v>711</v>
      </c>
      <c r="V15" s="123">
        <v>4434.63</v>
      </c>
      <c r="W15" s="124">
        <v>12</v>
      </c>
      <c r="X15" s="123">
        <v>2685.7005208333335</v>
      </c>
      <c r="Y15" s="129">
        <v>1.0639469776629653</v>
      </c>
      <c r="Z15" s="129">
        <v>1.5833281880811025</v>
      </c>
      <c r="AA15" s="130">
        <v>2.1043757135707679</v>
      </c>
      <c r="AB15" s="130">
        <v>3.1316573622199404</v>
      </c>
      <c r="AC15" s="130">
        <v>2.1043757135707679</v>
      </c>
      <c r="AD15" s="130">
        <v>3.1316573622199404</v>
      </c>
      <c r="AE15" s="117"/>
    </row>
    <row r="16" spans="2:31" ht="15.75" thickBot="1">
      <c r="B16" s="102" t="str">
        <f t="shared" si="0"/>
        <v>Gas Conveyor Oven_&gt;=42% Baking Efficiency</v>
      </c>
      <c r="C16" s="103">
        <v>13</v>
      </c>
      <c r="D16" s="104" t="s">
        <v>686</v>
      </c>
      <c r="E16" s="104" t="s">
        <v>29</v>
      </c>
      <c r="F16" s="104" t="s">
        <v>57</v>
      </c>
      <c r="G16" s="105" t="s">
        <v>733</v>
      </c>
      <c r="H16" s="105" t="s">
        <v>687</v>
      </c>
      <c r="I16" s="105" t="s">
        <v>688</v>
      </c>
      <c r="J16" s="105" t="s">
        <v>709</v>
      </c>
      <c r="K16" s="105" t="s">
        <v>734</v>
      </c>
      <c r="L16" s="106" t="s">
        <v>729</v>
      </c>
      <c r="M16" s="107">
        <v>660.81062192809975</v>
      </c>
      <c r="N16" s="107" t="s">
        <v>711</v>
      </c>
      <c r="O16" s="107" t="s">
        <v>693</v>
      </c>
      <c r="P16" s="107" t="s">
        <v>693</v>
      </c>
      <c r="Q16" s="108">
        <v>700</v>
      </c>
      <c r="R16" s="109">
        <v>709.05649483816092</v>
      </c>
      <c r="S16" s="109" t="s">
        <v>711</v>
      </c>
      <c r="T16" s="110">
        <v>676.826654163699</v>
      </c>
      <c r="U16" s="126" t="s">
        <v>711</v>
      </c>
      <c r="V16" s="114">
        <v>2314.5436363636363</v>
      </c>
      <c r="W16" s="113">
        <v>17</v>
      </c>
      <c r="X16" s="114">
        <v>467.06037505095804</v>
      </c>
      <c r="Y16" s="127">
        <v>6.7965408084195295E-2</v>
      </c>
      <c r="Z16" s="127">
        <v>0.25436652970833951</v>
      </c>
      <c r="AA16" s="128">
        <v>4.8191314026424729E-2</v>
      </c>
      <c r="AB16" s="128">
        <v>0.18036023995914208</v>
      </c>
      <c r="AC16" s="128">
        <v>4.8191314026424729E-2</v>
      </c>
      <c r="AD16" s="128">
        <v>0.18036023995914208</v>
      </c>
      <c r="AE16" s="117"/>
    </row>
    <row r="17" spans="2:31" ht="15.75" thickBot="1">
      <c r="B17" s="102" t="str">
        <f t="shared" si="0"/>
        <v>Griddle (Grocery)_&gt;=38% Cooking Efficiency,&lt;= 2650 Btu/hr-sq ft Idle Rate</v>
      </c>
      <c r="C17" s="118">
        <v>14</v>
      </c>
      <c r="D17" s="119" t="s">
        <v>686</v>
      </c>
      <c r="E17" s="119" t="s">
        <v>845</v>
      </c>
      <c r="F17" s="119" t="s">
        <v>52</v>
      </c>
      <c r="G17" s="119" t="s">
        <v>735</v>
      </c>
      <c r="H17" s="119" t="s">
        <v>708</v>
      </c>
      <c r="I17" s="119" t="s">
        <v>688</v>
      </c>
      <c r="J17" s="119" t="s">
        <v>709</v>
      </c>
      <c r="K17" s="119" t="s">
        <v>736</v>
      </c>
      <c r="L17" s="119"/>
      <c r="M17" s="120">
        <v>155</v>
      </c>
      <c r="N17" s="120" t="s">
        <v>711</v>
      </c>
      <c r="O17" s="120" t="s">
        <v>693</v>
      </c>
      <c r="P17" s="120" t="s">
        <v>693</v>
      </c>
      <c r="Q17" s="121">
        <v>600</v>
      </c>
      <c r="R17" s="122">
        <v>172.06968037523859</v>
      </c>
      <c r="S17" s="122" t="s">
        <v>711</v>
      </c>
      <c r="T17" s="122">
        <v>172.06968037523859</v>
      </c>
      <c r="U17" s="121" t="s">
        <v>711</v>
      </c>
      <c r="V17" s="123">
        <v>404.88</v>
      </c>
      <c r="W17" s="124">
        <v>12</v>
      </c>
      <c r="X17" s="123">
        <v>404.87810000000002</v>
      </c>
      <c r="Y17" s="131">
        <v>0.3447745439022854</v>
      </c>
      <c r="Z17" s="131">
        <v>0.48822108916026641</v>
      </c>
      <c r="AA17" s="132">
        <v>5.9325245570784821E-2</v>
      </c>
      <c r="AB17" s="132">
        <v>8.4008046764257882E-2</v>
      </c>
      <c r="AC17" s="132">
        <v>5.9325245570784821E-2</v>
      </c>
      <c r="AD17" s="132">
        <v>8.4008046764257882E-2</v>
      </c>
      <c r="AE17" s="117"/>
    </row>
    <row r="18" spans="2:31" ht="15.75" thickBot="1">
      <c r="B18" s="102" t="str">
        <f t="shared" si="0"/>
        <v>Griddle (Lodging)_&gt;=38% Cooking Efficiency,&lt;= 2650 Btu/hr-sq ft Idle Rate</v>
      </c>
      <c r="C18" s="103">
        <v>15</v>
      </c>
      <c r="D18" s="104" t="s">
        <v>686</v>
      </c>
      <c r="E18" s="104" t="s">
        <v>89</v>
      </c>
      <c r="F18" s="104" t="s">
        <v>52</v>
      </c>
      <c r="G18" s="105" t="s">
        <v>735</v>
      </c>
      <c r="H18" s="105" t="s">
        <v>712</v>
      </c>
      <c r="I18" s="105" t="s">
        <v>688</v>
      </c>
      <c r="J18" s="105" t="s">
        <v>709</v>
      </c>
      <c r="K18" s="105" t="s">
        <v>736</v>
      </c>
      <c r="L18" s="125"/>
      <c r="M18" s="107">
        <v>92</v>
      </c>
      <c r="N18" s="107" t="s">
        <v>711</v>
      </c>
      <c r="O18" s="107" t="s">
        <v>693</v>
      </c>
      <c r="P18" s="107" t="s">
        <v>693</v>
      </c>
      <c r="Q18" s="108">
        <v>600</v>
      </c>
      <c r="R18" s="109">
        <v>172.06968037523845</v>
      </c>
      <c r="S18" s="109" t="s">
        <v>711</v>
      </c>
      <c r="T18" s="109">
        <v>172.06968037523845</v>
      </c>
      <c r="U18" s="126" t="s">
        <v>711</v>
      </c>
      <c r="V18" s="112">
        <v>404.88</v>
      </c>
      <c r="W18" s="113">
        <v>12</v>
      </c>
      <c r="X18" s="112">
        <v>404.87810000000002</v>
      </c>
      <c r="Y18" s="127">
        <v>9.8249748420552174E-2</v>
      </c>
      <c r="Z18" s="127">
        <v>0.13912743858838639</v>
      </c>
      <c r="AA18" s="128">
        <v>1.690580280767201E-2</v>
      </c>
      <c r="AB18" s="128">
        <v>2.393961388932931E-2</v>
      </c>
      <c r="AC18" s="128">
        <v>1.690580280767201E-2</v>
      </c>
      <c r="AD18" s="128">
        <v>2.393961388932931E-2</v>
      </c>
      <c r="AE18" s="117"/>
    </row>
    <row r="19" spans="2:31" ht="15.75" thickBot="1">
      <c r="B19" s="102" t="str">
        <f t="shared" si="0"/>
        <v>Griddle (Restaurant)_&gt;=38% Cooking Efficiency,&lt;= 2650 Btu/hr-sq ft Idle Rate</v>
      </c>
      <c r="C19" s="118">
        <v>16</v>
      </c>
      <c r="D19" s="119" t="s">
        <v>686</v>
      </c>
      <c r="E19" s="119" t="s">
        <v>51</v>
      </c>
      <c r="F19" s="119" t="s">
        <v>52</v>
      </c>
      <c r="G19" s="119" t="s">
        <v>735</v>
      </c>
      <c r="H19" s="119" t="s">
        <v>713</v>
      </c>
      <c r="I19" s="119" t="s">
        <v>688</v>
      </c>
      <c r="J19" s="119" t="s">
        <v>709</v>
      </c>
      <c r="K19" s="119" t="s">
        <v>736</v>
      </c>
      <c r="L19" s="119"/>
      <c r="M19" s="120">
        <v>273</v>
      </c>
      <c r="N19" s="120" t="s">
        <v>711</v>
      </c>
      <c r="O19" s="120" t="s">
        <v>693</v>
      </c>
      <c r="P19" s="120" t="s">
        <v>693</v>
      </c>
      <c r="Q19" s="121">
        <v>600</v>
      </c>
      <c r="R19" s="122">
        <v>172.06968037523851</v>
      </c>
      <c r="S19" s="122" t="s">
        <v>711</v>
      </c>
      <c r="T19" s="122">
        <v>172.06968037523851</v>
      </c>
      <c r="U19" s="121" t="s">
        <v>711</v>
      </c>
      <c r="V19" s="123">
        <v>404.88</v>
      </c>
      <c r="W19" s="124">
        <v>12</v>
      </c>
      <c r="X19" s="123">
        <v>404.87810000000002</v>
      </c>
      <c r="Y19" s="131">
        <v>6.4570273192920062</v>
      </c>
      <c r="Z19" s="131">
        <v>9.1435315231851764</v>
      </c>
      <c r="AA19" s="132">
        <v>1.1110586270047591</v>
      </c>
      <c r="AB19" s="132">
        <v>1.5733245466953916</v>
      </c>
      <c r="AC19" s="132">
        <v>1.1110586270047591</v>
      </c>
      <c r="AD19" s="132">
        <v>1.5733245466953916</v>
      </c>
      <c r="AE19" s="117"/>
    </row>
    <row r="20" spans="2:31" ht="15.75" thickBot="1">
      <c r="B20" s="102" t="str">
        <f t="shared" si="0"/>
        <v>Griddle (School)_&gt;=38% Cooking Efficiency,&lt;= 2650 Btu/hr-sq ft Idle Rate</v>
      </c>
      <c r="C20" s="103">
        <v>17</v>
      </c>
      <c r="D20" s="104" t="s">
        <v>686</v>
      </c>
      <c r="E20" s="104" t="s">
        <v>90</v>
      </c>
      <c r="F20" s="104" t="s">
        <v>52</v>
      </c>
      <c r="G20" s="105" t="s">
        <v>735</v>
      </c>
      <c r="H20" s="105" t="s">
        <v>714</v>
      </c>
      <c r="I20" s="105" t="s">
        <v>688</v>
      </c>
      <c r="J20" s="105" t="s">
        <v>709</v>
      </c>
      <c r="K20" s="105" t="s">
        <v>736</v>
      </c>
      <c r="L20" s="125"/>
      <c r="M20" s="107">
        <v>59</v>
      </c>
      <c r="N20" s="107" t="s">
        <v>711</v>
      </c>
      <c r="O20" s="107" t="s">
        <v>693</v>
      </c>
      <c r="P20" s="107" t="s">
        <v>693</v>
      </c>
      <c r="Q20" s="108">
        <v>600</v>
      </c>
      <c r="R20" s="109">
        <v>172.06968037523848</v>
      </c>
      <c r="S20" s="109" t="s">
        <v>711</v>
      </c>
      <c r="T20" s="109">
        <v>172.06968037523848</v>
      </c>
      <c r="U20" s="126" t="s">
        <v>711</v>
      </c>
      <c r="V20" s="112">
        <v>404.88</v>
      </c>
      <c r="W20" s="113">
        <v>12</v>
      </c>
      <c r="X20" s="112">
        <v>404.87810000000002</v>
      </c>
      <c r="Y20" s="127">
        <v>7.5137336679296819E-3</v>
      </c>
      <c r="Z20" s="127">
        <v>1.0639890037985126E-2</v>
      </c>
      <c r="AA20" s="128">
        <v>1.2928857506653293E-3</v>
      </c>
      <c r="AB20" s="128">
        <v>1.8308024780637855E-3</v>
      </c>
      <c r="AC20" s="128">
        <v>1.2928857506653293E-3</v>
      </c>
      <c r="AD20" s="128">
        <v>1.8308024780637855E-3</v>
      </c>
      <c r="AE20" s="117"/>
    </row>
    <row r="21" spans="2:31" ht="15.75" thickBot="1">
      <c r="B21" s="102" t="str">
        <f t="shared" si="0"/>
        <v>HVAC Unit Heater - Condensing_Minimum 92% AFUE</v>
      </c>
      <c r="C21" s="118">
        <v>18</v>
      </c>
      <c r="D21" s="119" t="s">
        <v>686</v>
      </c>
      <c r="E21" s="119" t="s">
        <v>91</v>
      </c>
      <c r="F21" s="119" t="s">
        <v>737</v>
      </c>
      <c r="G21" s="119" t="s">
        <v>738</v>
      </c>
      <c r="H21" s="119" t="s">
        <v>687</v>
      </c>
      <c r="I21" s="119" t="s">
        <v>688</v>
      </c>
      <c r="J21" s="119" t="s">
        <v>709</v>
      </c>
      <c r="K21" s="119" t="s">
        <v>739</v>
      </c>
      <c r="L21" s="133" t="s">
        <v>740</v>
      </c>
      <c r="M21" s="120">
        <v>0.88663999999999998</v>
      </c>
      <c r="N21" s="120" t="s">
        <v>692</v>
      </c>
      <c r="O21" s="120" t="s">
        <v>693</v>
      </c>
      <c r="P21" s="120" t="s">
        <v>693</v>
      </c>
      <c r="Q21" s="121">
        <v>1.5</v>
      </c>
      <c r="R21" s="122">
        <v>5.3944355000463462E-2</v>
      </c>
      <c r="S21" s="110" t="s">
        <v>741</v>
      </c>
      <c r="T21" s="122">
        <v>5.3944355000463462E-2</v>
      </c>
      <c r="U21" s="121" t="s">
        <v>741</v>
      </c>
      <c r="V21" s="123">
        <v>1.111919795372543</v>
      </c>
      <c r="W21" s="124">
        <v>12</v>
      </c>
      <c r="X21" s="114">
        <v>340.21199250000006</v>
      </c>
      <c r="Y21" s="115">
        <v>35.348204047092466</v>
      </c>
      <c r="Z21" s="115">
        <v>64.240929300196882</v>
      </c>
      <c r="AA21" s="116">
        <v>4.2745550866101176</v>
      </c>
      <c r="AB21" s="116">
        <v>7.7684679748617844</v>
      </c>
      <c r="AC21" s="116">
        <v>4.2745550866101176</v>
      </c>
      <c r="AD21" s="116">
        <v>7.7684679748617844</v>
      </c>
      <c r="AE21" s="117"/>
    </row>
    <row r="22" spans="2:31" ht="15.75" thickBot="1">
      <c r="B22" s="102" t="str">
        <f t="shared" si="0"/>
        <v>HVAC Unit Heater - Non-Condensing_Minimum 86% AFUE</v>
      </c>
      <c r="C22" s="103">
        <v>19</v>
      </c>
      <c r="D22" s="104" t="s">
        <v>686</v>
      </c>
      <c r="E22" s="104" t="s">
        <v>742</v>
      </c>
      <c r="F22" s="104" t="s">
        <v>743</v>
      </c>
      <c r="G22" s="105" t="s">
        <v>693</v>
      </c>
      <c r="H22" s="105" t="s">
        <v>693</v>
      </c>
      <c r="I22" s="105" t="s">
        <v>693</v>
      </c>
      <c r="J22" s="105" t="s">
        <v>693</v>
      </c>
      <c r="K22" s="105" t="s">
        <v>693</v>
      </c>
      <c r="L22" s="106" t="s">
        <v>744</v>
      </c>
      <c r="M22" s="107">
        <v>0.61</v>
      </c>
      <c r="N22" s="107" t="s">
        <v>711</v>
      </c>
      <c r="O22" s="107" t="s">
        <v>693</v>
      </c>
      <c r="P22" s="107" t="s">
        <v>693</v>
      </c>
      <c r="Q22" s="108">
        <v>1.5</v>
      </c>
      <c r="R22" s="109" t="s">
        <v>693</v>
      </c>
      <c r="S22" s="109" t="s">
        <v>693</v>
      </c>
      <c r="T22" s="109" t="s">
        <v>693</v>
      </c>
      <c r="U22" s="109" t="s">
        <v>693</v>
      </c>
      <c r="V22" s="109" t="s">
        <v>693</v>
      </c>
      <c r="W22" s="109" t="s">
        <v>693</v>
      </c>
      <c r="X22" s="109" t="s">
        <v>693</v>
      </c>
      <c r="Y22" s="109" t="s">
        <v>693</v>
      </c>
      <c r="Z22" s="109" t="s">
        <v>693</v>
      </c>
      <c r="AA22" s="109" t="s">
        <v>693</v>
      </c>
      <c r="AB22" s="109" t="s">
        <v>693</v>
      </c>
      <c r="AC22" s="109" t="s">
        <v>693</v>
      </c>
      <c r="AD22" s="109" t="s">
        <v>693</v>
      </c>
      <c r="AE22" s="117" t="s">
        <v>745</v>
      </c>
    </row>
    <row r="23" spans="2:31" ht="15.75" thickBot="1">
      <c r="B23" s="102" t="str">
        <f t="shared" si="0"/>
        <v>Insulation - Attic - Min R-30_Minimum R-30</v>
      </c>
      <c r="C23" s="118">
        <v>20</v>
      </c>
      <c r="D23" s="119" t="s">
        <v>686</v>
      </c>
      <c r="E23" s="119" t="s">
        <v>746</v>
      </c>
      <c r="F23" s="119" t="s">
        <v>747</v>
      </c>
      <c r="G23" s="119" t="s">
        <v>748</v>
      </c>
      <c r="H23" s="119" t="s">
        <v>687</v>
      </c>
      <c r="I23" s="119" t="s">
        <v>688</v>
      </c>
      <c r="J23" s="119" t="s">
        <v>749</v>
      </c>
      <c r="K23" s="119" t="s">
        <v>750</v>
      </c>
      <c r="L23" s="119" t="s">
        <v>729</v>
      </c>
      <c r="M23" s="120">
        <v>0.31</v>
      </c>
      <c r="N23" s="120" t="s">
        <v>751</v>
      </c>
      <c r="O23" s="120" t="s">
        <v>693</v>
      </c>
      <c r="P23" s="120" t="s">
        <v>693</v>
      </c>
      <c r="Q23" s="121">
        <v>2</v>
      </c>
      <c r="R23" s="122">
        <v>0.11118988482776765</v>
      </c>
      <c r="S23" s="122" t="s">
        <v>752</v>
      </c>
      <c r="T23" s="110">
        <v>8.778148802192183E-2</v>
      </c>
      <c r="U23" s="121" t="s">
        <v>752</v>
      </c>
      <c r="V23" s="114">
        <v>0.87631578947368427</v>
      </c>
      <c r="W23" s="124">
        <v>45</v>
      </c>
      <c r="X23" s="114">
        <v>0.71155339397509443</v>
      </c>
      <c r="Y23" s="129">
        <v>110974.79465998401</v>
      </c>
      <c r="Z23" s="129">
        <v>169174.90919277561</v>
      </c>
      <c r="AA23" s="130">
        <v>47.811744793346065</v>
      </c>
      <c r="AB23" s="130">
        <v>72.407714257687047</v>
      </c>
      <c r="AC23" s="130">
        <v>76.615338546059135</v>
      </c>
      <c r="AD23" s="130">
        <v>115.95281545423626</v>
      </c>
      <c r="AE23" s="117"/>
    </row>
    <row r="24" spans="2:31" ht="15.75" thickBot="1">
      <c r="B24" s="102" t="str">
        <f t="shared" si="0"/>
        <v>Insulation - Attic - Min R-45_Minimum R-45</v>
      </c>
      <c r="C24" s="103">
        <v>21</v>
      </c>
      <c r="D24" s="104" t="s">
        <v>686</v>
      </c>
      <c r="E24" s="104" t="s">
        <v>753</v>
      </c>
      <c r="F24" s="104" t="s">
        <v>754</v>
      </c>
      <c r="G24" s="105" t="s">
        <v>748</v>
      </c>
      <c r="H24" s="105" t="s">
        <v>687</v>
      </c>
      <c r="I24" s="105" t="s">
        <v>688</v>
      </c>
      <c r="J24" s="105" t="s">
        <v>749</v>
      </c>
      <c r="K24" s="105" t="s">
        <v>750</v>
      </c>
      <c r="L24" s="125" t="s">
        <v>729</v>
      </c>
      <c r="M24" s="107">
        <v>0.32</v>
      </c>
      <c r="N24" s="107" t="s">
        <v>751</v>
      </c>
      <c r="O24" s="107" t="s">
        <v>693</v>
      </c>
      <c r="P24" s="107" t="s">
        <v>693</v>
      </c>
      <c r="Q24" s="108">
        <v>2.5</v>
      </c>
      <c r="R24" s="109">
        <v>0.11118988482776765</v>
      </c>
      <c r="S24" s="109" t="s">
        <v>752</v>
      </c>
      <c r="T24" s="110">
        <v>0.13167223203288272</v>
      </c>
      <c r="U24" s="126" t="s">
        <v>752</v>
      </c>
      <c r="V24" s="114">
        <v>1.3144736842105262</v>
      </c>
      <c r="W24" s="113">
        <v>45</v>
      </c>
      <c r="X24" s="114">
        <v>1.0673300909626415</v>
      </c>
      <c r="Y24" s="127">
        <v>110974.79465998401</v>
      </c>
      <c r="Z24" s="127">
        <v>169174.90919277561</v>
      </c>
      <c r="AA24" s="128">
        <v>47.811744793346065</v>
      </c>
      <c r="AB24" s="128">
        <v>72.407714257687047</v>
      </c>
      <c r="AC24" s="128">
        <v>76.615338546059135</v>
      </c>
      <c r="AD24" s="128">
        <v>115.95281545423626</v>
      </c>
      <c r="AE24" s="117"/>
    </row>
    <row r="25" spans="2:31" ht="15.75" thickBot="1">
      <c r="B25" s="102" t="str">
        <f t="shared" si="0"/>
        <v>Insulation - Floor_Equal to or greater than R-30 Post and equal to or less than R-11 Pre</v>
      </c>
      <c r="C25" s="118">
        <v>22</v>
      </c>
      <c r="D25" s="119" t="s">
        <v>686</v>
      </c>
      <c r="E25" s="119" t="s">
        <v>111</v>
      </c>
      <c r="F25" s="119" t="s">
        <v>101</v>
      </c>
      <c r="G25" s="119" t="s">
        <v>693</v>
      </c>
      <c r="H25" s="119" t="s">
        <v>693</v>
      </c>
      <c r="I25" s="119" t="s">
        <v>693</v>
      </c>
      <c r="J25" s="119" t="s">
        <v>693</v>
      </c>
      <c r="K25" s="119" t="s">
        <v>693</v>
      </c>
      <c r="L25" s="119" t="s">
        <v>744</v>
      </c>
      <c r="M25" s="120">
        <v>5.6000000000000001E-2</v>
      </c>
      <c r="N25" s="120" t="s">
        <v>755</v>
      </c>
      <c r="O25" s="120" t="s">
        <v>693</v>
      </c>
      <c r="P25" s="120" t="s">
        <v>693</v>
      </c>
      <c r="Q25" s="121">
        <v>1.25</v>
      </c>
      <c r="R25" s="122" t="s">
        <v>693</v>
      </c>
      <c r="S25" s="122" t="s">
        <v>693</v>
      </c>
      <c r="T25" s="122" t="s">
        <v>693</v>
      </c>
      <c r="U25" s="122" t="s">
        <v>693</v>
      </c>
      <c r="V25" s="122" t="s">
        <v>693</v>
      </c>
      <c r="W25" s="122" t="s">
        <v>693</v>
      </c>
      <c r="X25" s="122" t="s">
        <v>693</v>
      </c>
      <c r="Y25" s="122" t="s">
        <v>693</v>
      </c>
      <c r="Z25" s="122" t="s">
        <v>693</v>
      </c>
      <c r="AA25" s="122" t="s">
        <v>693</v>
      </c>
      <c r="AB25" s="122" t="s">
        <v>693</v>
      </c>
      <c r="AC25" s="122" t="s">
        <v>693</v>
      </c>
      <c r="AD25" s="122" t="s">
        <v>693</v>
      </c>
      <c r="AE25" s="117" t="s">
        <v>756</v>
      </c>
    </row>
    <row r="26" spans="2:31" ht="15.75" thickBot="1">
      <c r="B26" s="102" t="str">
        <f t="shared" si="0"/>
        <v>Insulation - Pipe - 1.5"_Retrofit for T&gt;140F&lt;=200F</v>
      </c>
      <c r="C26" s="103">
        <v>23</v>
      </c>
      <c r="D26" s="104" t="s">
        <v>686</v>
      </c>
      <c r="E26" s="104" t="s">
        <v>92</v>
      </c>
      <c r="F26" s="104" t="s">
        <v>103</v>
      </c>
      <c r="G26" s="105" t="s">
        <v>757</v>
      </c>
      <c r="H26" s="105" t="s">
        <v>687</v>
      </c>
      <c r="I26" s="105" t="s">
        <v>688</v>
      </c>
      <c r="J26" s="105" t="s">
        <v>758</v>
      </c>
      <c r="K26" s="105" t="s">
        <v>759</v>
      </c>
      <c r="L26" s="125"/>
      <c r="M26" s="107">
        <v>4.6017923491566473</v>
      </c>
      <c r="N26" s="107" t="s">
        <v>760</v>
      </c>
      <c r="O26" s="107" t="s">
        <v>693</v>
      </c>
      <c r="P26" s="107" t="s">
        <v>693</v>
      </c>
      <c r="Q26" s="108">
        <v>15</v>
      </c>
      <c r="R26" s="109">
        <v>4.6017923491566473</v>
      </c>
      <c r="S26" s="109" t="s">
        <v>760</v>
      </c>
      <c r="T26" s="109">
        <v>4.6017923491566473</v>
      </c>
      <c r="U26" s="126" t="s">
        <v>760</v>
      </c>
      <c r="V26" s="112">
        <v>10.78</v>
      </c>
      <c r="W26" s="113">
        <v>20</v>
      </c>
      <c r="X26" s="112">
        <v>10.782299999999999</v>
      </c>
      <c r="Y26" s="127">
        <v>4728.6541099919759</v>
      </c>
      <c r="Z26" s="127">
        <v>4634.0810277921364</v>
      </c>
      <c r="AA26" s="128">
        <v>21.664397805131344</v>
      </c>
      <c r="AB26" s="128">
        <v>21.033019849218586</v>
      </c>
      <c r="AC26" s="128">
        <v>21.667934447532694</v>
      </c>
      <c r="AD26" s="128">
        <v>21.04026311747177</v>
      </c>
      <c r="AE26" s="117"/>
    </row>
    <row r="27" spans="2:31" ht="15.75" thickBot="1">
      <c r="B27" s="102" t="str">
        <f t="shared" si="0"/>
        <v>Insulation - Pipe - 2.5"_Retrofit for T&gt;200F</v>
      </c>
      <c r="C27" s="118">
        <v>24</v>
      </c>
      <c r="D27" s="119" t="s">
        <v>686</v>
      </c>
      <c r="E27" s="119" t="s">
        <v>93</v>
      </c>
      <c r="F27" s="119" t="s">
        <v>105</v>
      </c>
      <c r="G27" s="119" t="s">
        <v>757</v>
      </c>
      <c r="H27" s="119" t="s">
        <v>687</v>
      </c>
      <c r="I27" s="119" t="s">
        <v>688</v>
      </c>
      <c r="J27" s="119" t="s">
        <v>758</v>
      </c>
      <c r="K27" s="119" t="s">
        <v>759</v>
      </c>
      <c r="L27" s="133" t="s">
        <v>761</v>
      </c>
      <c r="M27" s="120">
        <v>12</v>
      </c>
      <c r="N27" s="120" t="s">
        <v>762</v>
      </c>
      <c r="O27" s="120" t="s">
        <v>693</v>
      </c>
      <c r="P27" s="120" t="s">
        <v>693</v>
      </c>
      <c r="Q27" s="121">
        <v>25</v>
      </c>
      <c r="R27" s="110">
        <v>346.13835024552628</v>
      </c>
      <c r="S27" s="110" t="s">
        <v>762</v>
      </c>
      <c r="T27" s="110">
        <v>346.13835024552628</v>
      </c>
      <c r="U27" s="111" t="s">
        <v>762</v>
      </c>
      <c r="V27" s="114">
        <v>2951.244444444445</v>
      </c>
      <c r="W27" s="134">
        <v>20</v>
      </c>
      <c r="X27" s="114">
        <v>1475.6218611111112</v>
      </c>
      <c r="Y27" s="115">
        <v>15.691871462059005</v>
      </c>
      <c r="Z27" s="115">
        <v>15.599330849036978</v>
      </c>
      <c r="AA27" s="116">
        <v>0.29835676146420859</v>
      </c>
      <c r="AB27" s="116">
        <v>0.29417314393134136</v>
      </c>
      <c r="AC27" s="116">
        <v>0.29855845653214252</v>
      </c>
      <c r="AD27" s="116">
        <v>0.29451990770350495</v>
      </c>
      <c r="AE27" s="117"/>
    </row>
    <row r="28" spans="2:31" ht="15.75" thickBot="1">
      <c r="B28" s="102" t="str">
        <f t="shared" si="0"/>
        <v>Insulation - Roof - Min R-21_Minimum R-21</v>
      </c>
      <c r="C28" s="103">
        <v>25</v>
      </c>
      <c r="D28" s="104" t="s">
        <v>686</v>
      </c>
      <c r="E28" s="104" t="s">
        <v>763</v>
      </c>
      <c r="F28" s="104" t="s">
        <v>764</v>
      </c>
      <c r="G28" s="105" t="s">
        <v>748</v>
      </c>
      <c r="H28" s="105" t="s">
        <v>687</v>
      </c>
      <c r="I28" s="105" t="s">
        <v>688</v>
      </c>
      <c r="J28" s="105" t="s">
        <v>749</v>
      </c>
      <c r="K28" s="105" t="s">
        <v>750</v>
      </c>
      <c r="L28" s="125" t="s">
        <v>729</v>
      </c>
      <c r="M28" s="107">
        <v>0.35</v>
      </c>
      <c r="N28" s="107" t="s">
        <v>751</v>
      </c>
      <c r="O28" s="107" t="s">
        <v>693</v>
      </c>
      <c r="P28" s="107" t="s">
        <v>693</v>
      </c>
      <c r="Q28" s="108">
        <v>2</v>
      </c>
      <c r="R28" s="109">
        <v>0.11118988482776765</v>
      </c>
      <c r="S28" s="109" t="s">
        <v>752</v>
      </c>
      <c r="T28" s="110">
        <v>6.1447041615345276E-2</v>
      </c>
      <c r="U28" s="126" t="s">
        <v>752</v>
      </c>
      <c r="V28" s="114">
        <v>0.61342105263157898</v>
      </c>
      <c r="W28" s="113">
        <v>45</v>
      </c>
      <c r="X28" s="114">
        <v>0.49808737578256607</v>
      </c>
      <c r="Y28" s="127">
        <v>110974.79465998401</v>
      </c>
      <c r="Z28" s="127">
        <v>169174.90919277561</v>
      </c>
      <c r="AA28" s="128">
        <v>47.811744793346065</v>
      </c>
      <c r="AB28" s="128">
        <v>72.407714257687047</v>
      </c>
      <c r="AC28" s="128">
        <v>76.615338546059135</v>
      </c>
      <c r="AD28" s="128">
        <v>115.95281545423626</v>
      </c>
      <c r="AE28" s="117" t="s">
        <v>765</v>
      </c>
    </row>
    <row r="29" spans="2:31" ht="15.75" thickBot="1">
      <c r="B29" s="102" t="str">
        <f t="shared" si="0"/>
        <v>Insulation - Roof - Min R-30_Minimum R-30</v>
      </c>
      <c r="C29" s="118">
        <v>26</v>
      </c>
      <c r="D29" s="119" t="s">
        <v>686</v>
      </c>
      <c r="E29" s="119" t="s">
        <v>766</v>
      </c>
      <c r="F29" s="119" t="s">
        <v>747</v>
      </c>
      <c r="G29" s="119" t="s">
        <v>748</v>
      </c>
      <c r="H29" s="119" t="s">
        <v>687</v>
      </c>
      <c r="I29" s="119" t="s">
        <v>688</v>
      </c>
      <c r="J29" s="119" t="s">
        <v>749</v>
      </c>
      <c r="K29" s="119" t="s">
        <v>750</v>
      </c>
      <c r="L29" s="119" t="s">
        <v>729</v>
      </c>
      <c r="M29" s="120">
        <v>0.36</v>
      </c>
      <c r="N29" s="120" t="s">
        <v>751</v>
      </c>
      <c r="O29" s="120" t="s">
        <v>693</v>
      </c>
      <c r="P29" s="120" t="s">
        <v>693</v>
      </c>
      <c r="Q29" s="121">
        <v>2</v>
      </c>
      <c r="R29" s="122">
        <v>0.11118988482776765</v>
      </c>
      <c r="S29" s="122" t="s">
        <v>752</v>
      </c>
      <c r="T29" s="110">
        <v>8.778148802192183E-2</v>
      </c>
      <c r="U29" s="121" t="s">
        <v>752</v>
      </c>
      <c r="V29" s="114">
        <v>0.87631578947368427</v>
      </c>
      <c r="W29" s="124">
        <v>45</v>
      </c>
      <c r="X29" s="114">
        <v>0.71155339397509443</v>
      </c>
      <c r="Y29" s="129">
        <v>110974.79465998401</v>
      </c>
      <c r="Z29" s="129">
        <v>169174.90919277561</v>
      </c>
      <c r="AA29" s="130">
        <v>47.811744793346065</v>
      </c>
      <c r="AB29" s="130">
        <v>72.407714257687047</v>
      </c>
      <c r="AC29" s="130">
        <v>76.615338546059135</v>
      </c>
      <c r="AD29" s="130">
        <v>115.95281545423626</v>
      </c>
      <c r="AE29" s="117" t="s">
        <v>767</v>
      </c>
    </row>
    <row r="30" spans="2:31" ht="15.75" thickBot="1">
      <c r="B30" s="102" t="str">
        <f t="shared" si="0"/>
        <v>Insulation - Wall - Min R-19_Minimum R-19</v>
      </c>
      <c r="C30" s="103">
        <v>27</v>
      </c>
      <c r="D30" s="104" t="s">
        <v>686</v>
      </c>
      <c r="E30" s="104" t="s">
        <v>768</v>
      </c>
      <c r="F30" s="104" t="s">
        <v>769</v>
      </c>
      <c r="G30" s="105" t="s">
        <v>770</v>
      </c>
      <c r="H30" s="105" t="s">
        <v>687</v>
      </c>
      <c r="I30" s="105" t="s">
        <v>688</v>
      </c>
      <c r="J30" s="105" t="s">
        <v>771</v>
      </c>
      <c r="K30" s="105" t="s">
        <v>772</v>
      </c>
      <c r="L30" s="125" t="s">
        <v>729</v>
      </c>
      <c r="M30" s="107">
        <v>0.19</v>
      </c>
      <c r="N30" s="107" t="s">
        <v>773</v>
      </c>
      <c r="O30" s="107" t="s">
        <v>693</v>
      </c>
      <c r="P30" s="107" t="s">
        <v>693</v>
      </c>
      <c r="Q30" s="108">
        <v>2</v>
      </c>
      <c r="R30" s="109">
        <v>0.10738454045236508</v>
      </c>
      <c r="S30" s="109" t="s">
        <v>774</v>
      </c>
      <c r="T30" s="110">
        <v>9.7157441361663641E-2</v>
      </c>
      <c r="U30" s="126" t="s">
        <v>774</v>
      </c>
      <c r="V30" s="114">
        <v>1.7371428571428573</v>
      </c>
      <c r="W30" s="113">
        <v>45</v>
      </c>
      <c r="X30" s="114">
        <v>0.87113712164319834</v>
      </c>
      <c r="Y30" s="127">
        <v>109410.10554267553</v>
      </c>
      <c r="Z30" s="127">
        <v>166789.62756061202</v>
      </c>
      <c r="AA30" s="128">
        <v>43.865608846906817</v>
      </c>
      <c r="AB30" s="128">
        <v>66.02867688421199</v>
      </c>
      <c r="AC30" s="128">
        <v>47.061045735204395</v>
      </c>
      <c r="AD30" s="128">
        <v>70.876426140063217</v>
      </c>
      <c r="AE30" s="117"/>
    </row>
    <row r="31" spans="2:31" ht="15.75" thickBot="1">
      <c r="B31" s="102" t="str">
        <f t="shared" si="0"/>
        <v>Ozone Injection Laundry_Minimum 125 lb Total Washer/Extractor Capacity  and Pre Approved by CNG</v>
      </c>
      <c r="C31" s="118">
        <v>28</v>
      </c>
      <c r="D31" s="119" t="s">
        <v>686</v>
      </c>
      <c r="E31" s="119" t="s">
        <v>94</v>
      </c>
      <c r="F31" s="119" t="s">
        <v>107</v>
      </c>
      <c r="G31" s="119" t="s">
        <v>775</v>
      </c>
      <c r="H31" s="119" t="s">
        <v>687</v>
      </c>
      <c r="I31" s="119" t="s">
        <v>688</v>
      </c>
      <c r="J31" s="119" t="s">
        <v>704</v>
      </c>
      <c r="K31" s="119" t="s">
        <v>776</v>
      </c>
      <c r="L31" s="119"/>
      <c r="M31" s="120">
        <v>2627.6738128332263</v>
      </c>
      <c r="N31" s="120" t="s">
        <v>777</v>
      </c>
      <c r="O31" s="120" t="s">
        <v>693</v>
      </c>
      <c r="P31" s="120" t="s">
        <v>693</v>
      </c>
      <c r="Q31" s="121">
        <v>9000</v>
      </c>
      <c r="R31" s="122">
        <v>2627.6738128332263</v>
      </c>
      <c r="S31" s="122" t="s">
        <v>777</v>
      </c>
      <c r="T31" s="122">
        <v>2627.6738128332263</v>
      </c>
      <c r="U31" s="121" t="s">
        <v>777</v>
      </c>
      <c r="V31" s="123">
        <v>14325.891111111114</v>
      </c>
      <c r="W31" s="124">
        <v>10</v>
      </c>
      <c r="X31" s="123">
        <v>6806.7884467940185</v>
      </c>
      <c r="Y31" s="129">
        <v>2.1162339850484582</v>
      </c>
      <c r="Z31" s="129">
        <v>2.0739093053474886</v>
      </c>
      <c r="AA31" s="130">
        <v>11.560268434677697</v>
      </c>
      <c r="AB31" s="130">
        <v>11.158988207523601</v>
      </c>
      <c r="AC31" s="130">
        <v>11.560268434677697</v>
      </c>
      <c r="AD31" s="130">
        <v>11.158988207523601</v>
      </c>
      <c r="AE31" s="117"/>
    </row>
    <row r="32" spans="2:31" ht="15.75" thickBot="1">
      <c r="B32" s="102" t="str">
        <f t="shared" si="0"/>
        <v>Radiant Heating_None</v>
      </c>
      <c r="C32" s="103">
        <v>29</v>
      </c>
      <c r="D32" s="104" t="s">
        <v>686</v>
      </c>
      <c r="E32" s="104" t="s">
        <v>6</v>
      </c>
      <c r="F32" s="104" t="s">
        <v>11</v>
      </c>
      <c r="G32" s="105" t="s">
        <v>738</v>
      </c>
      <c r="H32" s="105" t="s">
        <v>687</v>
      </c>
      <c r="I32" s="105" t="s">
        <v>688</v>
      </c>
      <c r="J32" s="105" t="s">
        <v>709</v>
      </c>
      <c r="K32" s="105" t="s">
        <v>778</v>
      </c>
      <c r="L32" s="125" t="s">
        <v>740</v>
      </c>
      <c r="M32" s="107">
        <v>2.6597803793585357</v>
      </c>
      <c r="N32" s="107" t="s">
        <v>741</v>
      </c>
      <c r="O32" s="107" t="s">
        <v>693</v>
      </c>
      <c r="P32" s="107" t="s">
        <v>693</v>
      </c>
      <c r="Q32" s="108">
        <v>15</v>
      </c>
      <c r="R32" s="109">
        <v>0.12006073942736867</v>
      </c>
      <c r="S32" s="109" t="s">
        <v>779</v>
      </c>
      <c r="T32" s="109">
        <v>0.12006073942736867</v>
      </c>
      <c r="U32" s="126" t="s">
        <v>779</v>
      </c>
      <c r="V32" s="112">
        <v>0.19294238094510707</v>
      </c>
      <c r="W32" s="113">
        <v>12</v>
      </c>
      <c r="X32" s="114">
        <v>340.21199250000006</v>
      </c>
      <c r="Y32" s="115">
        <v>35.348204047092466</v>
      </c>
      <c r="Z32" s="115">
        <v>64.240929300196882</v>
      </c>
      <c r="AA32" s="116">
        <v>4.2745550866101176</v>
      </c>
      <c r="AB32" s="116">
        <v>7.7684679748617844</v>
      </c>
      <c r="AC32" s="116">
        <v>4.2745550866101176</v>
      </c>
      <c r="AD32" s="116">
        <v>7.7684679748617844</v>
      </c>
      <c r="AE32" s="117"/>
    </row>
    <row r="33" spans="2:31" ht="15.75" thickBot="1">
      <c r="B33" s="102" t="str">
        <f t="shared" si="0"/>
        <v>Tankless Water Heater_Minimum .87 Energy Factor</v>
      </c>
      <c r="C33" s="118">
        <v>30</v>
      </c>
      <c r="D33" s="119" t="s">
        <v>686</v>
      </c>
      <c r="E33" s="119" t="s">
        <v>58</v>
      </c>
      <c r="F33" s="119" t="s">
        <v>64</v>
      </c>
      <c r="G33" s="119" t="s">
        <v>727</v>
      </c>
      <c r="H33" s="119" t="s">
        <v>687</v>
      </c>
      <c r="I33" s="119" t="s">
        <v>688</v>
      </c>
      <c r="J33" s="119" t="s">
        <v>689</v>
      </c>
      <c r="K33" s="119" t="s">
        <v>728</v>
      </c>
      <c r="L33" s="133" t="s">
        <v>780</v>
      </c>
      <c r="M33" s="120">
        <v>21.642595007568275</v>
      </c>
      <c r="N33" s="120" t="s">
        <v>781</v>
      </c>
      <c r="O33" s="120" t="s">
        <v>693</v>
      </c>
      <c r="P33" s="120" t="s">
        <v>693</v>
      </c>
      <c r="Q33" s="121">
        <v>120</v>
      </c>
      <c r="R33" s="122">
        <v>5.9408107803419403</v>
      </c>
      <c r="S33" s="122" t="s">
        <v>730</v>
      </c>
      <c r="T33" s="110">
        <v>21.642595007568275</v>
      </c>
      <c r="U33" s="110" t="s">
        <v>781</v>
      </c>
      <c r="V33" s="114">
        <v>27.008310440738232</v>
      </c>
      <c r="W33" s="124">
        <v>10</v>
      </c>
      <c r="X33" s="114">
        <v>24.066081102537211</v>
      </c>
      <c r="Y33" s="129">
        <v>3146.9543637455163</v>
      </c>
      <c r="Z33" s="129">
        <v>3472.1844687802422</v>
      </c>
      <c r="AA33" s="130">
        <v>15.682629772603175</v>
      </c>
      <c r="AB33" s="130">
        <v>17.301577104470724</v>
      </c>
      <c r="AC33" s="130">
        <v>15.682629772603175</v>
      </c>
      <c r="AD33" s="130">
        <v>17.301577104470724</v>
      </c>
      <c r="AE33" s="117" t="s">
        <v>782</v>
      </c>
    </row>
    <row r="34" spans="2:31" ht="15.75" thickBot="1">
      <c r="B34" s="102" t="str">
        <f t="shared" si="0"/>
        <v>Tankless Water Heater - Tier 2_Minimum .93 Energy Factor</v>
      </c>
      <c r="C34" s="103">
        <v>31</v>
      </c>
      <c r="D34" s="104" t="s">
        <v>686</v>
      </c>
      <c r="E34" s="104" t="s">
        <v>66</v>
      </c>
      <c r="F34" s="104" t="s">
        <v>67</v>
      </c>
      <c r="G34" s="105" t="s">
        <v>727</v>
      </c>
      <c r="H34" s="105" t="s">
        <v>687</v>
      </c>
      <c r="I34" s="105" t="s">
        <v>688</v>
      </c>
      <c r="J34" s="105" t="s">
        <v>689</v>
      </c>
      <c r="K34" s="105" t="s">
        <v>728</v>
      </c>
      <c r="L34" s="125" t="s">
        <v>780</v>
      </c>
      <c r="M34" s="107">
        <v>37.62785514993638</v>
      </c>
      <c r="N34" s="107" t="s">
        <v>781</v>
      </c>
      <c r="O34" s="107" t="s">
        <v>693</v>
      </c>
      <c r="P34" s="107" t="s">
        <v>693</v>
      </c>
      <c r="Q34" s="108">
        <v>150</v>
      </c>
      <c r="R34" s="109">
        <v>5.9408107803419403</v>
      </c>
      <c r="S34" s="109" t="s">
        <v>730</v>
      </c>
      <c r="T34" s="110">
        <v>37.62785514993638</v>
      </c>
      <c r="U34" s="110" t="s">
        <v>781</v>
      </c>
      <c r="V34" s="114">
        <v>54.368520691779096</v>
      </c>
      <c r="W34" s="113">
        <v>10</v>
      </c>
      <c r="X34" s="114">
        <v>44.69415061899771</v>
      </c>
      <c r="Y34" s="127">
        <v>3146.9543637455163</v>
      </c>
      <c r="Z34" s="127">
        <v>3472.1844687802422</v>
      </c>
      <c r="AA34" s="128">
        <v>15.682629772603175</v>
      </c>
      <c r="AB34" s="128">
        <v>17.301577104470724</v>
      </c>
      <c r="AC34" s="128">
        <v>15.682629772603175</v>
      </c>
      <c r="AD34" s="128">
        <v>17.301577104470724</v>
      </c>
      <c r="AE34" s="117" t="s">
        <v>783</v>
      </c>
    </row>
    <row r="35" spans="2:31" ht="15.75" thickBot="1">
      <c r="B35" s="102" t="str">
        <f t="shared" si="0"/>
        <v>Warm-Air Furnace_Minimum  91% AFUE</v>
      </c>
      <c r="C35" s="118">
        <v>32</v>
      </c>
      <c r="D35" s="119" t="s">
        <v>686</v>
      </c>
      <c r="E35" s="119" t="s">
        <v>60</v>
      </c>
      <c r="F35" s="119" t="s">
        <v>62</v>
      </c>
      <c r="G35" s="119" t="s">
        <v>784</v>
      </c>
      <c r="H35" s="119" t="s">
        <v>687</v>
      </c>
      <c r="I35" s="119" t="s">
        <v>688</v>
      </c>
      <c r="J35" s="119" t="s">
        <v>785</v>
      </c>
      <c r="K35" s="119" t="s">
        <v>786</v>
      </c>
      <c r="L35" s="133" t="s">
        <v>787</v>
      </c>
      <c r="M35" s="120">
        <v>0.58718174055971872</v>
      </c>
      <c r="N35" s="120" t="s">
        <v>692</v>
      </c>
      <c r="O35" s="120" t="s">
        <v>693</v>
      </c>
      <c r="P35" s="120" t="s">
        <v>693</v>
      </c>
      <c r="Q35" s="121">
        <v>5</v>
      </c>
      <c r="R35" s="122">
        <v>3.0421730636008976E-2</v>
      </c>
      <c r="S35" s="110" t="s">
        <v>741</v>
      </c>
      <c r="T35" s="122">
        <v>3.0421730636008976E-2</v>
      </c>
      <c r="U35" s="121" t="s">
        <v>741</v>
      </c>
      <c r="V35" s="123">
        <v>0.50523236941532068</v>
      </c>
      <c r="W35" s="124">
        <v>23</v>
      </c>
      <c r="X35" s="114">
        <v>5.2614207142857135</v>
      </c>
      <c r="Y35" s="115">
        <v>68715.659986736282</v>
      </c>
      <c r="Z35" s="115">
        <v>87695.28406661468</v>
      </c>
      <c r="AA35" s="116">
        <v>11.459868871644423</v>
      </c>
      <c r="AB35" s="116">
        <v>14.625144490484361</v>
      </c>
      <c r="AC35" s="116">
        <v>11.459868871644423</v>
      </c>
      <c r="AD35" s="116">
        <v>14.625144490484361</v>
      </c>
      <c r="AE35" s="117" t="s">
        <v>788</v>
      </c>
    </row>
    <row r="36" spans="2:31" ht="15.75" thickBot="1">
      <c r="B36" s="102" t="str">
        <f t="shared" si="0"/>
        <v>Windows_0.3 or less U</v>
      </c>
      <c r="C36" s="103">
        <v>33</v>
      </c>
      <c r="D36" s="104" t="s">
        <v>686</v>
      </c>
      <c r="E36" s="104" t="s">
        <v>81</v>
      </c>
      <c r="F36" s="104" t="s">
        <v>789</v>
      </c>
      <c r="G36" s="105" t="s">
        <v>790</v>
      </c>
      <c r="H36" s="105" t="s">
        <v>687</v>
      </c>
      <c r="I36" s="105" t="s">
        <v>688</v>
      </c>
      <c r="J36" s="105" t="s">
        <v>791</v>
      </c>
      <c r="K36" s="105" t="s">
        <v>792</v>
      </c>
      <c r="L36" s="106" t="s">
        <v>793</v>
      </c>
      <c r="M36" s="107">
        <v>0.48769414751916607</v>
      </c>
      <c r="N36" s="107" t="s">
        <v>794</v>
      </c>
      <c r="O36" s="107" t="s">
        <v>693</v>
      </c>
      <c r="P36" s="107" t="s">
        <v>693</v>
      </c>
      <c r="Q36" s="108">
        <v>7.5</v>
      </c>
      <c r="R36" s="109">
        <v>0.36073434904625079</v>
      </c>
      <c r="S36" s="109" t="s">
        <v>795</v>
      </c>
      <c r="T36" s="109">
        <v>0.36073434904625079</v>
      </c>
      <c r="U36" s="126" t="s">
        <v>795</v>
      </c>
      <c r="V36" s="112">
        <v>24.150000000000002</v>
      </c>
      <c r="W36" s="113">
        <v>45</v>
      </c>
      <c r="X36" s="112">
        <v>4.9999930262760257</v>
      </c>
      <c r="Y36" s="127">
        <v>578.69898949588298</v>
      </c>
      <c r="Z36" s="127">
        <v>860.81655309084351</v>
      </c>
      <c r="AA36" s="128">
        <v>0.86290723200257913</v>
      </c>
      <c r="AB36" s="128">
        <v>1.2646137413635525</v>
      </c>
      <c r="AC36" s="128">
        <v>0</v>
      </c>
      <c r="AD36" s="128">
        <v>0</v>
      </c>
      <c r="AE36" s="117" t="s">
        <v>796</v>
      </c>
    </row>
    <row r="37" spans="2:31" ht="15.75" thickBot="1">
      <c r="B37" s="102" t="str">
        <f t="shared" si="0"/>
        <v>Windows_U-.22 or less</v>
      </c>
      <c r="C37" s="118">
        <v>34</v>
      </c>
      <c r="D37" s="119" t="s">
        <v>686</v>
      </c>
      <c r="E37" s="119" t="s">
        <v>81</v>
      </c>
      <c r="F37" s="119" t="s">
        <v>797</v>
      </c>
      <c r="G37" s="119" t="s">
        <v>790</v>
      </c>
      <c r="H37" s="119" t="s">
        <v>687</v>
      </c>
      <c r="I37" s="119" t="s">
        <v>688</v>
      </c>
      <c r="J37" s="119" t="s">
        <v>791</v>
      </c>
      <c r="K37" s="119" t="s">
        <v>792</v>
      </c>
      <c r="L37" s="119"/>
      <c r="M37" s="120">
        <v>0.54</v>
      </c>
      <c r="N37" s="120" t="s">
        <v>794</v>
      </c>
      <c r="O37" s="120" t="s">
        <v>693</v>
      </c>
      <c r="P37" s="120" t="s">
        <v>693</v>
      </c>
      <c r="Q37" s="121">
        <v>9</v>
      </c>
      <c r="R37" s="122">
        <v>0.36073434904625079</v>
      </c>
      <c r="S37" s="122" t="s">
        <v>795</v>
      </c>
      <c r="T37" s="122">
        <v>0.36073434904625079</v>
      </c>
      <c r="U37" s="121" t="s">
        <v>795</v>
      </c>
      <c r="V37" s="123">
        <v>24.150000000000002</v>
      </c>
      <c r="W37" s="124">
        <v>45</v>
      </c>
      <c r="X37" s="123">
        <v>4.9999930262760257</v>
      </c>
      <c r="Y37" s="131">
        <v>578.69898949588298</v>
      </c>
      <c r="Z37" s="131">
        <v>860.81655309084351</v>
      </c>
      <c r="AA37" s="132">
        <v>0.86290723200257913</v>
      </c>
      <c r="AB37" s="132">
        <v>1.2646137413635525</v>
      </c>
      <c r="AC37" s="132">
        <v>0</v>
      </c>
      <c r="AD37" s="132">
        <v>0</v>
      </c>
      <c r="AE37" s="117"/>
    </row>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row r="62" s="91" customFormat="1"/>
    <row r="63" s="91" customFormat="1"/>
    <row r="64" s="91" customFormat="1"/>
    <row r="65" s="91" customFormat="1"/>
    <row r="66" s="91" customFormat="1"/>
    <row r="67" s="91" customFormat="1"/>
    <row r="68" s="91" customFormat="1"/>
    <row r="69" s="91" customFormat="1"/>
    <row r="70" s="91" customFormat="1"/>
    <row r="71" s="91" customFormat="1"/>
    <row r="72" s="91" customFormat="1"/>
    <row r="73" s="91" customFormat="1"/>
    <row r="74" s="91" customFormat="1"/>
  </sheetData>
  <autoFilter ref="B3:AE3" xr:uid="{2473B96F-2EA1-4ED8-89F3-0042B6AB7C22}"/>
  <mergeCells count="8">
    <mergeCell ref="R1:AD1"/>
    <mergeCell ref="C2:F2"/>
    <mergeCell ref="G2:K2"/>
    <mergeCell ref="M2:Q2"/>
    <mergeCell ref="R2:X2"/>
    <mergeCell ref="Y2:Z2"/>
    <mergeCell ref="AA2:AB2"/>
    <mergeCell ref="AC2:A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40AC263BA319A41A5EAD400E8A077FB" ma:contentTypeVersion="16" ma:contentTypeDescription="" ma:contentTypeScope="" ma:versionID="2aa459872c09ac092adbfef4c960bf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2023-11-15T08:00:00+00:00</OpenedDate>
    <SignificantOrder xmlns="dc463f71-b30c-4ab2-9473-d307f9d35888">false</SignificantOrder>
    <Date1 xmlns="dc463f71-b30c-4ab2-9473-d307f9d35888">2023-11-15T08:00:00+00:00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230937</DocketNumber>
    <DelegatedOrder xmlns="dc463f71-b30c-4ab2-9473-d307f9d35888">false</DelegatedOrder>
  </documentManagement>
</p:properties>
</file>

<file path=customXml/itemProps1.xml><?xml version="1.0" encoding="utf-8"?>
<ds:datastoreItem xmlns:ds="http://schemas.openxmlformats.org/officeDocument/2006/customXml" ds:itemID="{9D24C34C-0E3B-467B-BD11-D6C92AFFAA9B}"/>
</file>

<file path=customXml/itemProps2.xml><?xml version="1.0" encoding="utf-8"?>
<ds:datastoreItem xmlns:ds="http://schemas.openxmlformats.org/officeDocument/2006/customXml" ds:itemID="{EA54682E-CF03-46FF-A4BB-05244438ED64}"/>
</file>

<file path=customXml/itemProps3.xml><?xml version="1.0" encoding="utf-8"?>
<ds:datastoreItem xmlns:ds="http://schemas.openxmlformats.org/officeDocument/2006/customXml" ds:itemID="{E8FC8F4E-B8E4-4CA8-82CA-1B0D84E40109}"/>
</file>

<file path=customXml/itemProps4.xml><?xml version="1.0" encoding="utf-8"?>
<ds:datastoreItem xmlns:ds="http://schemas.openxmlformats.org/officeDocument/2006/customXml" ds:itemID="{4ECDF744-EBA2-4CC7-BE69-7D3B0EF92C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2024</vt:lpstr>
      <vt:lpstr>2025</vt:lpstr>
      <vt:lpstr>Tariff</vt:lpstr>
      <vt:lpstr>APP 2885</vt:lpstr>
      <vt:lpstr>All TRC 2022 Measure Data</vt:lpstr>
      <vt:lpstr>Com Measure Mapping</vt:lpstr>
      <vt:lpstr>AC</vt:lpstr>
      <vt:lpstr>'2024'!Print_Area</vt:lpstr>
      <vt:lpstr>'2025'!Print_Area</vt:lpstr>
    </vt:vector>
  </TitlesOfParts>
  <Company>An MDU Resources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keywords>Unrestricted</cp:keywords>
  <cp:lastModifiedBy>Reimer, Caleb</cp:lastModifiedBy>
  <cp:lastPrinted>2017-01-26T18:03:28Z</cp:lastPrinted>
  <dcterms:created xsi:type="dcterms:W3CDTF">2009-05-07T23:09:45Z</dcterms:created>
  <dcterms:modified xsi:type="dcterms:W3CDTF">2023-11-09T15:43:36Z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ID">
    <vt:lpwstr>0</vt:lpwstr>
  </property>
  <property fmtid="{D5CDD505-2E9C-101B-9397-08002B2CF9AE}" pid="3" name="checkedProgramsCount">
    <vt:i4>0</vt:i4>
  </property>
  <property fmtid="{D5CDD505-2E9C-101B-9397-08002B2CF9AE}" pid="4" name="LM SIP Document Sensitivity">
    <vt:lpwstr/>
  </property>
  <property fmtid="{D5CDD505-2E9C-101B-9397-08002B2CF9AE}" pid="5" name="Document Author">
    <vt:lpwstr>ACCT04\e320856</vt:lpwstr>
  </property>
  <property fmtid="{D5CDD505-2E9C-101B-9397-08002B2CF9AE}" pid="6" name="Document Sensitivity">
    <vt:lpwstr>1</vt:lpwstr>
  </property>
  <property fmtid="{D5CDD505-2E9C-101B-9397-08002B2CF9AE}" pid="7" name="ThirdParty">
    <vt:lpwstr/>
  </property>
  <property fmtid="{D5CDD505-2E9C-101B-9397-08002B2CF9AE}" pid="8" name="OCI Restriction">
    <vt:bool>false</vt:bool>
  </property>
  <property fmtid="{D5CDD505-2E9C-101B-9397-08002B2CF9AE}" pid="9" name="OCI Additional Info">
    <vt:lpwstr/>
  </property>
  <property fmtid="{D5CDD505-2E9C-101B-9397-08002B2CF9AE}" pid="10" name="Allow Header Overwrite">
    <vt:bool>false</vt:bool>
  </property>
  <property fmtid="{D5CDD505-2E9C-101B-9397-08002B2CF9AE}" pid="11" name="Allow Footer Overwrite">
    <vt:bool>false</vt:bool>
  </property>
  <property fmtid="{D5CDD505-2E9C-101B-9397-08002B2CF9AE}" pid="12" name="Multiple Selected">
    <vt:lpwstr>-1</vt:lpwstr>
  </property>
  <property fmtid="{D5CDD505-2E9C-101B-9397-08002B2CF9AE}" pid="13" name="SIPLongWording">
    <vt:lpwstr>_x000d_
_x000d_
</vt:lpwstr>
  </property>
  <property fmtid="{D5CDD505-2E9C-101B-9397-08002B2CF9AE}" pid="14" name="ExpCountry">
    <vt:lpwstr/>
  </property>
  <property fmtid="{D5CDD505-2E9C-101B-9397-08002B2CF9AE}" pid="15" name="ContentTypeId">
    <vt:lpwstr>0x0101006E56B4D1795A2E4DB2F0B01679ED314A00040AC263BA319A41A5EAD400E8A077FB</vt:lpwstr>
  </property>
  <property fmtid="{D5CDD505-2E9C-101B-9397-08002B2CF9AE}" pid="16" name="_docset_NoMedatataSyncRequired">
    <vt:lpwstr>False</vt:lpwstr>
  </property>
</Properties>
</file>