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nnual Report\2025 filing\"/>
    </mc:Choice>
  </mc:AlternateContent>
  <xr:revisionPtr revIDLastSave="0" documentId="13_ncr:1_{FD448636-8E84-4A5A-8BC5-E3C5E0CBE88B}" xr6:coauthVersionLast="47" xr6:coauthVersionMax="47" xr10:uidLastSave="{00000000-0000-0000-0000-000000000000}"/>
  <bookViews>
    <workbookView xWindow="-28920" yWindow="-120" windowWidth="29040" windowHeight="15720" xr2:uid="{3210280B-B340-4E56-9710-C02EB6DA1CC2}"/>
  </bookViews>
  <sheets>
    <sheet name="2024 Totals" sheetId="10" r:id="rId1"/>
    <sheet name="APP 2885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0" l="1"/>
  <c r="L23" i="10"/>
  <c r="L24" i="10"/>
  <c r="L25" i="10"/>
  <c r="L27" i="10"/>
  <c r="M27" i="10" s="1"/>
  <c r="L28" i="10"/>
  <c r="M28" i="10" s="1"/>
  <c r="L29" i="10"/>
  <c r="M29" i="10" s="1"/>
  <c r="L30" i="10"/>
  <c r="M30" i="10" s="1"/>
  <c r="L31" i="10"/>
  <c r="M31" i="10" s="1"/>
  <c r="L32" i="10"/>
  <c r="M32" i="10" s="1"/>
  <c r="L33" i="10"/>
  <c r="L34" i="10"/>
  <c r="L35" i="10"/>
  <c r="M35" i="10" s="1"/>
  <c r="L36" i="10"/>
  <c r="M36" i="10" s="1"/>
  <c r="L37" i="10"/>
  <c r="L38" i="10"/>
  <c r="L39" i="10"/>
  <c r="M39" i="10" s="1"/>
  <c r="L40" i="10"/>
  <c r="M40" i="10" s="1"/>
  <c r="L41" i="10"/>
  <c r="M41" i="10" s="1"/>
  <c r="L42" i="10"/>
  <c r="M42" i="10" s="1"/>
  <c r="L43" i="10"/>
  <c r="M43" i="10" s="1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6" i="10"/>
  <c r="C50" i="10"/>
  <c r="P27" i="10" s="1"/>
  <c r="V27" i="10" s="1"/>
  <c r="R6" i="10"/>
  <c r="R46" i="10"/>
  <c r="I44" i="10"/>
  <c r="K35" i="10"/>
  <c r="K36" i="10"/>
  <c r="K37" i="10"/>
  <c r="K38" i="10"/>
  <c r="K39" i="10"/>
  <c r="K40" i="10"/>
  <c r="M37" i="10"/>
  <c r="X37" i="10" s="1"/>
  <c r="M38" i="10"/>
  <c r="R10" i="10"/>
  <c r="K10" i="10"/>
  <c r="F10" i="10"/>
  <c r="M33" i="10"/>
  <c r="M34" i="10"/>
  <c r="K32" i="10"/>
  <c r="K33" i="10"/>
  <c r="K34" i="10"/>
  <c r="K41" i="10"/>
  <c r="K42" i="10"/>
  <c r="K29" i="10"/>
  <c r="K28" i="10"/>
  <c r="K27" i="10"/>
  <c r="K30" i="10"/>
  <c r="K31" i="10"/>
  <c r="K43" i="10"/>
  <c r="R25" i="10"/>
  <c r="V25" i="10" s="1"/>
  <c r="Y25" i="10"/>
  <c r="M25" i="10"/>
  <c r="K25" i="10"/>
  <c r="R24" i="10"/>
  <c r="V24" i="10" s="1"/>
  <c r="U24" i="10"/>
  <c r="M24" i="10"/>
  <c r="K24" i="10"/>
  <c r="R23" i="10"/>
  <c r="V23" i="10" s="1"/>
  <c r="U23" i="10"/>
  <c r="M23" i="10"/>
  <c r="K23" i="10"/>
  <c r="E44" i="10"/>
  <c r="R11" i="10"/>
  <c r="K11" i="10"/>
  <c r="R20" i="10"/>
  <c r="K20" i="10"/>
  <c r="F20" i="10"/>
  <c r="F11" i="10"/>
  <c r="F12" i="10"/>
  <c r="F13" i="10"/>
  <c r="F14" i="10"/>
  <c r="F15" i="10"/>
  <c r="F16" i="10"/>
  <c r="F17" i="10"/>
  <c r="F18" i="10"/>
  <c r="F19" i="10"/>
  <c r="F21" i="10"/>
  <c r="F22" i="10"/>
  <c r="F9" i="10"/>
  <c r="F7" i="10"/>
  <c r="F8" i="10"/>
  <c r="F6" i="10"/>
  <c r="R7" i="10"/>
  <c r="K7" i="10"/>
  <c r="R8" i="10"/>
  <c r="K8" i="10"/>
  <c r="R22" i="10"/>
  <c r="K22" i="10"/>
  <c r="R21" i="10"/>
  <c r="K21" i="10"/>
  <c r="R19" i="10"/>
  <c r="K19" i="10"/>
  <c r="R18" i="10"/>
  <c r="K18" i="10"/>
  <c r="R17" i="10"/>
  <c r="K17" i="10"/>
  <c r="R16" i="10"/>
  <c r="K16" i="10"/>
  <c r="R15" i="10"/>
  <c r="K15" i="10"/>
  <c r="R14" i="10"/>
  <c r="K14" i="10"/>
  <c r="R13" i="10"/>
  <c r="K13" i="10"/>
  <c r="R12" i="10"/>
  <c r="K12" i="10"/>
  <c r="R9" i="10"/>
  <c r="K9" i="10"/>
  <c r="K6" i="10"/>
  <c r="Z27" i="10" l="1"/>
  <c r="T6" i="10"/>
  <c r="O44" i="10"/>
  <c r="Z34" i="10"/>
  <c r="Z33" i="10"/>
  <c r="X36" i="10"/>
  <c r="L6" i="10"/>
  <c r="M6" i="10" s="1"/>
  <c r="L8" i="10"/>
  <c r="M8" i="10" s="1"/>
  <c r="X8" i="10" s="1"/>
  <c r="L7" i="10"/>
  <c r="M7" i="10" s="1"/>
  <c r="X7" i="10" s="1"/>
  <c r="L9" i="10"/>
  <c r="M9" i="10" s="1"/>
  <c r="X9" i="10" s="1"/>
  <c r="L22" i="10"/>
  <c r="M22" i="10" s="1"/>
  <c r="L21" i="10"/>
  <c r="M21" i="10" s="1"/>
  <c r="L19" i="10"/>
  <c r="M19" i="10" s="1"/>
  <c r="X19" i="10" s="1"/>
  <c r="L18" i="10"/>
  <c r="M18" i="10" s="1"/>
  <c r="X18" i="10" s="1"/>
  <c r="L17" i="10"/>
  <c r="M17" i="10" s="1"/>
  <c r="X17" i="10" s="1"/>
  <c r="L16" i="10"/>
  <c r="M16" i="10" s="1"/>
  <c r="X16" i="10" s="1"/>
  <c r="L15" i="10"/>
  <c r="M15" i="10" s="1"/>
  <c r="X15" i="10" s="1"/>
  <c r="L14" i="10"/>
  <c r="M14" i="10" s="1"/>
  <c r="X14" i="10" s="1"/>
  <c r="L13" i="10"/>
  <c r="M13" i="10" s="1"/>
  <c r="X13" i="10" s="1"/>
  <c r="L12" i="10"/>
  <c r="M12" i="10" s="1"/>
  <c r="X12" i="10" s="1"/>
  <c r="L11" i="10"/>
  <c r="M11" i="10" s="1"/>
  <c r="X11" i="10" s="1"/>
  <c r="L20" i="10"/>
  <c r="M20" i="10" s="1"/>
  <c r="X20" i="10" s="1"/>
  <c r="L10" i="10"/>
  <c r="M10" i="10" s="1"/>
  <c r="P28" i="10"/>
  <c r="Z28" i="10" s="1"/>
  <c r="P29" i="10"/>
  <c r="Z29" i="10" s="1"/>
  <c r="P30" i="10"/>
  <c r="U30" i="10" s="1"/>
  <c r="P31" i="10"/>
  <c r="Z31" i="10" s="1"/>
  <c r="P32" i="10"/>
  <c r="V32" i="10" s="1"/>
  <c r="P33" i="10"/>
  <c r="P34" i="10"/>
  <c r="P35" i="10"/>
  <c r="Z35" i="10" s="1"/>
  <c r="P36" i="10"/>
  <c r="V36" i="10" s="1"/>
  <c r="P37" i="10"/>
  <c r="U37" i="10" s="1"/>
  <c r="P38" i="10"/>
  <c r="Z38" i="10" s="1"/>
  <c r="P39" i="10"/>
  <c r="Z39" i="10" s="1"/>
  <c r="P40" i="10"/>
  <c r="Z40" i="10" s="1"/>
  <c r="P41" i="10"/>
  <c r="V41" i="10" s="1"/>
  <c r="P42" i="10"/>
  <c r="Z42" i="10" s="1"/>
  <c r="P43" i="10"/>
  <c r="Z43" i="10" s="1"/>
  <c r="U28" i="10"/>
  <c r="Y27" i="10"/>
  <c r="U27" i="10"/>
  <c r="X35" i="10"/>
  <c r="R44" i="10"/>
  <c r="T44" i="10" s="1"/>
  <c r="U40" i="10"/>
  <c r="U39" i="10"/>
  <c r="T37" i="10"/>
  <c r="T36" i="10"/>
  <c r="Y36" i="10"/>
  <c r="T35" i="10"/>
  <c r="X40" i="10"/>
  <c r="X39" i="10"/>
  <c r="X38" i="10"/>
  <c r="T40" i="10"/>
  <c r="T39" i="10"/>
  <c r="T38" i="10"/>
  <c r="K44" i="10"/>
  <c r="T42" i="10"/>
  <c r="T10" i="10"/>
  <c r="X10" i="10"/>
  <c r="T29" i="10"/>
  <c r="X32" i="10"/>
  <c r="X33" i="10"/>
  <c r="X41" i="10"/>
  <c r="T27" i="10"/>
  <c r="X34" i="10"/>
  <c r="T41" i="10"/>
  <c r="T33" i="10"/>
  <c r="T32" i="10"/>
  <c r="T34" i="10"/>
  <c r="Y34" i="10"/>
  <c r="X42" i="10"/>
  <c r="Y33" i="10"/>
  <c r="X29" i="10"/>
  <c r="X27" i="10"/>
  <c r="Z25" i="10"/>
  <c r="X25" i="10"/>
  <c r="Z23" i="10"/>
  <c r="X23" i="10"/>
  <c r="Z24" i="10"/>
  <c r="X24" i="10"/>
  <c r="U25" i="10"/>
  <c r="T24" i="10"/>
  <c r="Y23" i="10"/>
  <c r="Y24" i="10"/>
  <c r="T23" i="10"/>
  <c r="T25" i="10"/>
  <c r="T11" i="10"/>
  <c r="X30" i="10"/>
  <c r="T30" i="10"/>
  <c r="T20" i="10"/>
  <c r="T8" i="10"/>
  <c r="T7" i="10"/>
  <c r="X43" i="10"/>
  <c r="X31" i="10"/>
  <c r="X28" i="10"/>
  <c r="T28" i="10"/>
  <c r="T31" i="10"/>
  <c r="T43" i="10"/>
  <c r="C51" i="10"/>
  <c r="X6" i="10"/>
  <c r="X22" i="10"/>
  <c r="X21" i="10"/>
  <c r="T9" i="10"/>
  <c r="T12" i="10"/>
  <c r="T13" i="10"/>
  <c r="T14" i="10"/>
  <c r="T15" i="10"/>
  <c r="T16" i="10"/>
  <c r="T17" i="10"/>
  <c r="T18" i="10"/>
  <c r="T19" i="10"/>
  <c r="T21" i="10"/>
  <c r="T22" i="10"/>
  <c r="Z36" i="10" l="1"/>
  <c r="M44" i="10"/>
  <c r="R47" i="10"/>
  <c r="U38" i="10"/>
  <c r="X44" i="10"/>
  <c r="U43" i="10"/>
  <c r="U31" i="10"/>
  <c r="U29" i="10"/>
  <c r="Y35" i="10"/>
  <c r="Z30" i="10"/>
  <c r="Y41" i="10"/>
  <c r="U32" i="10"/>
  <c r="V37" i="10"/>
  <c r="Z37" i="10"/>
  <c r="Z32" i="10"/>
  <c r="U36" i="10"/>
  <c r="Y29" i="10"/>
  <c r="Y42" i="10"/>
  <c r="Y37" i="10"/>
  <c r="Y32" i="10"/>
  <c r="Z41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6" i="10"/>
  <c r="V43" i="10"/>
  <c r="Y43" i="10"/>
  <c r="V42" i="10"/>
  <c r="U42" i="10"/>
  <c r="U41" i="10"/>
  <c r="V40" i="10"/>
  <c r="Y40" i="10"/>
  <c r="V39" i="10"/>
  <c r="Y39" i="10"/>
  <c r="V38" i="10"/>
  <c r="Y38" i="10"/>
  <c r="V35" i="10"/>
  <c r="U35" i="10"/>
  <c r="V34" i="10"/>
  <c r="U34" i="10"/>
  <c r="V33" i="10"/>
  <c r="U33" i="10"/>
  <c r="V31" i="10"/>
  <c r="Y31" i="10"/>
  <c r="V30" i="10"/>
  <c r="Y30" i="10"/>
  <c r="V29" i="10"/>
  <c r="V28" i="10"/>
  <c r="Y28" i="10"/>
  <c r="K46" i="10"/>
  <c r="P44" i="10" l="1"/>
  <c r="Z6" i="10"/>
  <c r="U6" i="10"/>
  <c r="V6" i="10"/>
  <c r="Y6" i="10"/>
  <c r="V22" i="10"/>
  <c r="Z22" i="10"/>
  <c r="U22" i="10"/>
  <c r="Y22" i="10"/>
  <c r="Z21" i="10"/>
  <c r="U21" i="10"/>
  <c r="V21" i="10"/>
  <c r="Y21" i="10"/>
  <c r="V20" i="10"/>
  <c r="Z20" i="10"/>
  <c r="Y20" i="10"/>
  <c r="U20" i="10"/>
  <c r="U19" i="10"/>
  <c r="V19" i="10"/>
  <c r="Z19" i="10"/>
  <c r="Y19" i="10"/>
  <c r="V18" i="10"/>
  <c r="Z18" i="10"/>
  <c r="U18" i="10"/>
  <c r="Y18" i="10"/>
  <c r="U17" i="10"/>
  <c r="V17" i="10"/>
  <c r="Z17" i="10"/>
  <c r="Y17" i="10"/>
  <c r="Z16" i="10"/>
  <c r="V16" i="10"/>
  <c r="U16" i="10"/>
  <c r="Y16" i="10"/>
  <c r="V15" i="10"/>
  <c r="U15" i="10"/>
  <c r="Z15" i="10"/>
  <c r="Y15" i="10"/>
  <c r="U14" i="10"/>
  <c r="V14" i="10"/>
  <c r="Z14" i="10"/>
  <c r="Y14" i="10"/>
  <c r="U13" i="10"/>
  <c r="Z13" i="10"/>
  <c r="V13" i="10"/>
  <c r="Y13" i="10"/>
  <c r="V12" i="10"/>
  <c r="U12" i="10"/>
  <c r="Z12" i="10"/>
  <c r="Y12" i="10"/>
  <c r="U11" i="10"/>
  <c r="V11" i="10"/>
  <c r="Z11" i="10"/>
  <c r="Y11" i="10"/>
  <c r="Z10" i="10"/>
  <c r="Y10" i="10"/>
  <c r="U10" i="10"/>
  <c r="V10" i="10"/>
  <c r="Z9" i="10"/>
  <c r="U9" i="10"/>
  <c r="V9" i="10"/>
  <c r="Y9" i="10"/>
  <c r="V8" i="10"/>
  <c r="Z8" i="10"/>
  <c r="Y8" i="10"/>
  <c r="U8" i="10"/>
  <c r="V7" i="10"/>
  <c r="Z7" i="10"/>
  <c r="Y7" i="10"/>
  <c r="U7" i="10"/>
  <c r="V44" i="10" l="1"/>
  <c r="Z44" i="10"/>
  <c r="Y44" i="10"/>
  <c r="U44" i="10"/>
</calcChain>
</file>

<file path=xl/sharedStrings.xml><?xml version="1.0" encoding="utf-8"?>
<sst xmlns="http://schemas.openxmlformats.org/spreadsheetml/2006/main" count="199" uniqueCount="136">
  <si>
    <t>Program Year:</t>
  </si>
  <si>
    <t>CASCADE NATURAL GAS CORPORATION</t>
  </si>
  <si>
    <t xml:space="preserve">COMMERCIAL Program Participant Cost Effectiveness </t>
  </si>
  <si>
    <t>Measure Mapping</t>
  </si>
  <si>
    <t>MEASURE</t>
  </si>
  <si>
    <t>DESCRIPTION</t>
  </si>
  <si>
    <t>EFFICIENCY TYPE FOR QUALIFICATION</t>
  </si>
  <si>
    <t>TOTAL PROJECT COUNT</t>
  </si>
  <si>
    <t>ANNUAL THERM SAVINGS</t>
  </si>
  <si>
    <t>UNIT</t>
  </si>
  <si>
    <t>UNITS INSTALLED</t>
  </si>
  <si>
    <t>TOTAL ANNUAL THERM SAVINGS</t>
  </si>
  <si>
    <t>MEASURE INCREMENTAL COST</t>
  </si>
  <si>
    <t>TOTAL INCREMENTAL COST</t>
  </si>
  <si>
    <t>PARTICIPANT NEBS</t>
  </si>
  <si>
    <t>TOTAL  NET  INCREMENTAL  COST  WITH  NEBS</t>
  </si>
  <si>
    <t>MEASURE LIFE</t>
  </si>
  <si>
    <t>DISCOUNTED THERM SAVINGS</t>
  </si>
  <si>
    <t>PROGRAM DELIVERY AND ADMIN</t>
  </si>
  <si>
    <t>PROGRAM REBATE</t>
  </si>
  <si>
    <t>CALCULATED REBATE COST</t>
  </si>
  <si>
    <t>REBATES BASED ON CAPPED INCENTIVES</t>
  </si>
  <si>
    <t>UTILITY  COST</t>
  </si>
  <si>
    <t>UC  W/DELIVERY  &amp;  ADMIN</t>
  </si>
  <si>
    <t>LOADED  UTILITY  BENEFIT  TO  COST  RATIO</t>
  </si>
  <si>
    <t>TOTAL  RESOURCE  COST</t>
  </si>
  <si>
    <t>TRC  W/DELIVERY  &amp;  ADMIN</t>
  </si>
  <si>
    <t>LOADED  SOCIETAL  BENEFIT  TO  COST  RATIO</t>
  </si>
  <si>
    <t>Boiler</t>
  </si>
  <si>
    <t>High-Efficiency-Condensing Boiler</t>
  </si>
  <si>
    <t>High Efficiency Condensing</t>
  </si>
  <si>
    <t>kBtu/hr input</t>
  </si>
  <si>
    <t>MINIMUM 91% AFUE &amp; 300KBTU/HR</t>
  </si>
  <si>
    <t>MIN 94% TE &amp; 300 kBtu/hr input</t>
  </si>
  <si>
    <t>Convection Oven (Restaurant)</t>
  </si>
  <si>
    <t>Energy Star</t>
  </si>
  <si>
    <t>oven</t>
  </si>
  <si>
    <t>Convection Oven (School)</t>
  </si>
  <si>
    <t>Domestic Hot Water Tanks - Condensing</t>
  </si>
  <si>
    <t>Condensing Tank</t>
  </si>
  <si>
    <t>Min 91% AFUE or 91% TE</t>
  </si>
  <si>
    <t>Insulation - Attic - Tier 1 - Min R-30</t>
  </si>
  <si>
    <t>Attic Insulation</t>
  </si>
  <si>
    <t>TIER 1 - MINIMUM R-30</t>
  </si>
  <si>
    <t>sqft</t>
  </si>
  <si>
    <t>Insulation - Attic - Tier 2 - Min R-45</t>
  </si>
  <si>
    <t>TIER 2 - MINIMUM R-45</t>
  </si>
  <si>
    <t>Insulation - Floor</t>
  </si>
  <si>
    <t>Floor Insulation</t>
  </si>
  <si>
    <t>EQUAL OR &gt;R-30 PRE R &lt;R-11</t>
  </si>
  <si>
    <t>Insulation - Pipe - 1.5"</t>
  </si>
  <si>
    <t xml:space="preserve">1.5" Thick Pipe Insulation </t>
  </si>
  <si>
    <t>RETROFIT FOR T&gt;140F&lt;=200f</t>
  </si>
  <si>
    <t>Insulation - Roof - Tier 2 - Min R-30</t>
  </si>
  <si>
    <t>Roof Insulation</t>
  </si>
  <si>
    <t>TIER 2 - MINIMUM R-30</t>
  </si>
  <si>
    <t>Insulation - Wall - Tier 2 - Min R-19</t>
  </si>
  <si>
    <t>Wall Insulation</t>
  </si>
  <si>
    <t>R-19 MINIMUM</t>
  </si>
  <si>
    <t>Radiant Heating</t>
  </si>
  <si>
    <t>Direct-fired Radiant Heating</t>
  </si>
  <si>
    <t>Direct-Fired</t>
  </si>
  <si>
    <t>Tankless Water Heater - Tier 2</t>
  </si>
  <si>
    <t>TIER 2 - 0.93 EF MINIMUM</t>
  </si>
  <si>
    <t>Warm-Air Furnace</t>
  </si>
  <si>
    <t>High-Efficiency Condensing Furnace</t>
  </si>
  <si>
    <t>91% AFUE MINIMUM</t>
  </si>
  <si>
    <t>Windows - Tier 1</t>
  </si>
  <si>
    <t>Single pane to 0.30 or less</t>
  </si>
  <si>
    <t>Bonus - HVAC</t>
  </si>
  <si>
    <t>HVAC Bonus</t>
  </si>
  <si>
    <t>-</t>
  </si>
  <si>
    <t>unit</t>
  </si>
  <si>
    <t>Bonus - Insulation Bundle A</t>
  </si>
  <si>
    <t>Insulation Bundle A</t>
  </si>
  <si>
    <t>Bonus - Kitchen Bundle B (2 - measures)</t>
  </si>
  <si>
    <t>Foodservice Bundle B</t>
  </si>
  <si>
    <t>Custom Measures</t>
  </si>
  <si>
    <t>008713-C-SKAGIT COUNTY FACILI</t>
  </si>
  <si>
    <t>Custom DDC Controls</t>
  </si>
  <si>
    <t>008729-C-Longview School Dist</t>
  </si>
  <si>
    <t>008714-C-Longview School District #122</t>
  </si>
  <si>
    <t>DDC HVAC Control upgrades</t>
  </si>
  <si>
    <t>008716-C-Longview School Dist</t>
  </si>
  <si>
    <t>008678-C-WALMART STORES INC #</t>
  </si>
  <si>
    <t>custom heat recovery</t>
  </si>
  <si>
    <t>008702-C-WALMART STORES INC #</t>
  </si>
  <si>
    <t>008703-C-WALMART STORES INC #</t>
  </si>
  <si>
    <t>008745-C-LV SCH DIST #122-R A</t>
  </si>
  <si>
    <t>008667-C-WALMART STORES INC #2476</t>
  </si>
  <si>
    <t>008668-C-WALMART STORES INC #3380</t>
  </si>
  <si>
    <t>008669-C-WALMART STORES INC #2325</t>
  </si>
  <si>
    <t>008670-C-WALMART STORES INC #5272</t>
  </si>
  <si>
    <t>008671-C-WALMART STORES INC #3261</t>
  </si>
  <si>
    <t>008672-C-WALMART STORES INC #5078</t>
  </si>
  <si>
    <t>008679-C-SAFEWAY STORE #2637</t>
  </si>
  <si>
    <t>custom other</t>
  </si>
  <si>
    <t>008720-C-SAFEWAY STORE #1522</t>
  </si>
  <si>
    <t>008736-C-The Kroger Co</t>
  </si>
  <si>
    <t>TOTAL PROGRAM</t>
  </si>
  <si>
    <t>Nominal interest rate (post tax cost of cap.)</t>
  </si>
  <si>
    <t>non-energy</t>
  </si>
  <si>
    <t>Inflation rate</t>
  </si>
  <si>
    <t>Long term real discount rate</t>
  </si>
  <si>
    <t>Total 2024 Program Admin.</t>
  </si>
  <si>
    <t>Custom Admin.</t>
  </si>
  <si>
    <t>Prescriptive Admin.</t>
  </si>
  <si>
    <t>INTEGRATED RESOURCE PLAN</t>
  </si>
  <si>
    <t>PORTFOLIO COST APPENDIX 1 TABLE H</t>
  </si>
  <si>
    <t>45 YEAR RESOURCE SUMMARY COSTS - MELDED COST PER THERM</t>
  </si>
  <si>
    <t>YEAR</t>
  </si>
  <si>
    <t>IRP ANNUAL</t>
  </si>
  <si>
    <t>NOMINAL</t>
  </si>
  <si>
    <t>PV OF</t>
  </si>
  <si>
    <t>NON</t>
  </si>
  <si>
    <t>PORTFOLIO</t>
  </si>
  <si>
    <t xml:space="preserve"> PORTFOLIO</t>
  </si>
  <si>
    <t xml:space="preserve"> COST</t>
  </si>
  <si>
    <t xml:space="preserve"> RESOURCE</t>
  </si>
  <si>
    <t xml:space="preserve"> ENERGY</t>
  </si>
  <si>
    <t xml:space="preserve"> COSTS  WITH</t>
  </si>
  <si>
    <t xml:space="preserve"> COST PER</t>
  </si>
  <si>
    <t xml:space="preserve"> PER</t>
  </si>
  <si>
    <t xml:space="preserve"> BENEFIT</t>
  </si>
  <si>
    <t xml:space="preserve"> CONSERVATION</t>
  </si>
  <si>
    <t xml:space="preserve"> THERM (PV)*</t>
  </si>
  <si>
    <t xml:space="preserve"> THERM</t>
  </si>
  <si>
    <t xml:space="preserve"> COST/THERM</t>
  </si>
  <si>
    <t xml:space="preserve"> CREDIT</t>
  </si>
  <si>
    <t>Cascade's Long Term Real Discount Rate:</t>
  </si>
  <si>
    <t>IRP Discount Rate =</t>
  </si>
  <si>
    <t>Revised Discount Rate=</t>
  </si>
  <si>
    <t>Years 21-45 Escalation =</t>
  </si>
  <si>
    <t>(EIA Inflation Rate)</t>
  </si>
  <si>
    <t xml:space="preserve">PROGRAM YEAR </t>
  </si>
  <si>
    <t xml:space="preserve"> CASCADE NATURAL GAS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</si>
</sst>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21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name val="Times New Roman"/>
      <family val="1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sz val="11"/>
      <name val="Aptos Narrow"/>
      <family val="2"/>
      <scheme val="minor"/>
    </font>
    <font>
      <sz val="1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0"/>
      <name val="Aptos Narrow"/>
      <family val="2"/>
      <scheme val="minor"/>
    </font>
    <font>
      <sz val="11"/>
      <name val="Aptos Narrow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5AA6DB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/>
      <top/>
      <bottom/>
      <diagonal/>
    </border>
    <border>
      <left/>
      <right style="medium">
        <color rgb="FFD6D2D2"/>
      </right>
      <top/>
      <bottom/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/>
      <top style="medium">
        <color rgb="FFD6D2D2"/>
      </top>
      <bottom style="medium">
        <color rgb="FFD6D2D2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D6D2D2"/>
      </top>
      <bottom style="medium">
        <color rgb="FFD6D2D2"/>
      </bottom>
      <diagonal/>
    </border>
  </borders>
  <cellStyleXfs count="2">
    <xf numFmtId="0" fontId="0" fillId="0" borderId="0"/>
    <xf numFmtId="0" fontId="19" fillId="0" borderId="0"/>
  </cellStyleXfs>
  <cellXfs count="10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13" fillId="0" borderId="0" xfId="0" applyNumberFormat="1" applyFont="1" applyAlignment="1">
      <alignment horizontal="left"/>
    </xf>
    <xf numFmtId="0" fontId="5" fillId="3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8" fontId="6" fillId="4" borderId="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8" fontId="17" fillId="0" borderId="15" xfId="0" applyNumberFormat="1" applyFont="1" applyBorder="1" applyAlignment="1">
      <alignment horizontal="center" vertical="center" wrapText="1"/>
    </xf>
    <xf numFmtId="9" fontId="17" fillId="0" borderId="1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3" fontId="6" fillId="4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1" fillId="0" borderId="0" xfId="0" applyNumberFormat="1" applyFont="1"/>
    <xf numFmtId="0" fontId="5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4" fontId="7" fillId="6" borderId="6" xfId="0" applyNumberFormat="1" applyFont="1" applyFill="1" applyBorder="1" applyAlignment="1">
      <alignment horizontal="center" vertical="center" wrapText="1"/>
    </xf>
    <xf numFmtId="8" fontId="7" fillId="6" borderId="6" xfId="0" applyNumberFormat="1" applyFont="1" applyFill="1" applyBorder="1" applyAlignment="1">
      <alignment horizontal="center" vertical="center" wrapText="1"/>
    </xf>
    <xf numFmtId="8" fontId="6" fillId="7" borderId="1" xfId="0" applyNumberFormat="1" applyFont="1" applyFill="1" applyBorder="1" applyAlignment="1">
      <alignment horizontal="center" vertical="center" wrapText="1"/>
    </xf>
    <xf numFmtId="8" fontId="5" fillId="6" borderId="5" xfId="0" applyNumberFormat="1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/>
    </xf>
    <xf numFmtId="0" fontId="18" fillId="4" borderId="0" xfId="0" applyFont="1" applyFill="1"/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 wrapText="1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3" fontId="6" fillId="0" borderId="10" xfId="0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14" fillId="0" borderId="16" xfId="0" applyFont="1" applyBorder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8" fontId="8" fillId="0" borderId="0" xfId="0" applyNumberFormat="1" applyFont="1" applyAlignment="1">
      <alignment horizontal="right"/>
    </xf>
    <xf numFmtId="164" fontId="10" fillId="5" borderId="1" xfId="0" applyNumberFormat="1" applyFont="1" applyFill="1" applyBorder="1" applyAlignment="1">
      <alignment horizontal="left" vertical="center" wrapText="1"/>
    </xf>
    <xf numFmtId="8" fontId="10" fillId="5" borderId="1" xfId="0" applyNumberFormat="1" applyFont="1" applyFill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center" wrapText="1"/>
    </xf>
    <xf numFmtId="8" fontId="20" fillId="0" borderId="1" xfId="0" applyNumberFormat="1" applyFont="1" applyBorder="1" applyAlignment="1">
      <alignment horizontal="center" wrapText="1"/>
    </xf>
    <xf numFmtId="165" fontId="7" fillId="6" borderId="6" xfId="0" applyNumberFormat="1" applyFont="1" applyFill="1" applyBorder="1" applyAlignment="1">
      <alignment horizontal="center" vertical="center" wrapText="1"/>
    </xf>
    <xf numFmtId="44" fontId="7" fillId="6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9" xfId="0" applyFont="1" applyBorder="1"/>
    <xf numFmtId="0" fontId="8" fillId="0" borderId="0" xfId="0" applyFont="1"/>
    <xf numFmtId="0" fontId="1" fillId="0" borderId="0" xfId="0" applyFont="1"/>
    <xf numFmtId="0" fontId="8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C6D697EF-0037-4D1C-8690-2E2C33A2BC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AD7B-9725-470A-94A8-137113DE3B2A}">
  <dimension ref="A1:AA63"/>
  <sheetViews>
    <sheetView tabSelected="1" topLeftCell="A2" zoomScale="90" zoomScaleNormal="90" workbookViewId="0">
      <pane xSplit="1" ySplit="4" topLeftCell="B6" activePane="bottomRight" state="frozen"/>
      <selection pane="topRight"/>
      <selection pane="bottomLeft"/>
      <selection pane="bottomRight" activeCell="D3" sqref="D3"/>
    </sheetView>
  </sheetViews>
  <sheetFormatPr defaultRowHeight="15" customHeight="1" x14ac:dyDescent="0.35"/>
  <cols>
    <col min="1" max="1" width="48.7265625" customWidth="1"/>
    <col min="2" max="2" width="53.54296875" customWidth="1"/>
    <col min="3" max="3" width="29.453125" customWidth="1"/>
    <col min="4" max="4" width="30.1796875" customWidth="1"/>
    <col min="7" max="7" width="12.54296875" customWidth="1"/>
    <col min="8" max="8" width="13.1796875" customWidth="1"/>
    <col min="9" max="9" width="13.1796875" style="35" customWidth="1"/>
    <col min="10" max="10" width="18.26953125" customWidth="1"/>
    <col min="11" max="11" width="17.81640625" customWidth="1"/>
    <col min="12" max="12" width="14" customWidth="1"/>
    <col min="13" max="13" width="17.1796875" customWidth="1"/>
    <col min="15" max="15" width="14.1796875" customWidth="1"/>
    <col min="16" max="16" width="13.54296875" customWidth="1"/>
    <col min="18" max="18" width="17" customWidth="1"/>
    <col min="21" max="21" width="15.453125" customWidth="1"/>
    <col min="22" max="22" width="11.453125" bestFit="1" customWidth="1"/>
    <col min="26" max="26" width="11.54296875" customWidth="1"/>
  </cols>
  <sheetData>
    <row r="1" spans="1:27" ht="27" thickBot="1" x14ac:dyDescent="0.4">
      <c r="A1" s="1"/>
      <c r="B1" s="2" t="s">
        <v>0</v>
      </c>
      <c r="C1" s="76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3"/>
    </row>
    <row r="2" spans="1:27" ht="27" thickBot="1" x14ac:dyDescent="0.4">
      <c r="A2" s="94" t="s">
        <v>134</v>
      </c>
      <c r="B2" s="92" t="s">
        <v>135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6"/>
      <c r="W2" s="75"/>
      <c r="X2" s="75"/>
      <c r="Y2" s="75"/>
      <c r="Z2" s="75"/>
      <c r="AA2" s="3"/>
    </row>
    <row r="3" spans="1:27" ht="22" customHeight="1" thickBot="1" x14ac:dyDescent="0.4">
      <c r="A3" s="2">
        <v>2024</v>
      </c>
      <c r="B3" s="90" t="s">
        <v>2</v>
      </c>
      <c r="C3" s="91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4"/>
    </row>
    <row r="4" spans="1:27" s="93" customFormat="1" ht="22" customHeight="1" x14ac:dyDescent="0.35">
      <c r="A4" s="97"/>
      <c r="B4" s="98"/>
      <c r="C4" s="98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99"/>
    </row>
    <row r="5" spans="1:27" ht="78.5" thickBot="1" x14ac:dyDescent="0.4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20" t="s">
        <v>11</v>
      </c>
      <c r="J5" s="5" t="s">
        <v>12</v>
      </c>
      <c r="K5" s="20" t="s">
        <v>13</v>
      </c>
      <c r="L5" s="20" t="s">
        <v>14</v>
      </c>
      <c r="M5" s="20" t="s">
        <v>15</v>
      </c>
      <c r="N5" s="5" t="s">
        <v>16</v>
      </c>
      <c r="O5" s="20" t="s">
        <v>17</v>
      </c>
      <c r="P5" s="20" t="s">
        <v>18</v>
      </c>
      <c r="Q5" s="5" t="s">
        <v>19</v>
      </c>
      <c r="R5" s="20" t="s">
        <v>20</v>
      </c>
      <c r="S5" s="5" t="s">
        <v>21</v>
      </c>
      <c r="T5" s="20" t="s">
        <v>22</v>
      </c>
      <c r="U5" s="20" t="s">
        <v>23</v>
      </c>
      <c r="V5" s="20" t="s">
        <v>24</v>
      </c>
      <c r="W5" s="5"/>
      <c r="X5" s="20" t="s">
        <v>25</v>
      </c>
      <c r="Y5" s="20" t="s">
        <v>26</v>
      </c>
      <c r="Z5" s="20" t="s">
        <v>27</v>
      </c>
      <c r="AA5" s="1"/>
    </row>
    <row r="6" spans="1:27" s="47" customFormat="1" ht="14.5" x14ac:dyDescent="0.35">
      <c r="A6" s="49"/>
      <c r="B6" s="46" t="s">
        <v>28</v>
      </c>
      <c r="C6" s="50" t="s">
        <v>29</v>
      </c>
      <c r="D6" s="46" t="s">
        <v>30</v>
      </c>
      <c r="E6" s="57">
        <v>1</v>
      </c>
      <c r="F6" s="57">
        <f>I6/H6</f>
        <v>1.35</v>
      </c>
      <c r="G6" s="58" t="s">
        <v>31</v>
      </c>
      <c r="H6" s="57">
        <v>3000</v>
      </c>
      <c r="I6" s="59">
        <v>4050</v>
      </c>
      <c r="J6" s="57">
        <v>8.89</v>
      </c>
      <c r="K6" s="60">
        <f>H6*J6</f>
        <v>26670</v>
      </c>
      <c r="L6" s="60">
        <f t="shared" ref="L6:L25" si="0">PV($C$48,$N6,(-0.05*0.9*$F6))</f>
        <v>0.75324247910935727</v>
      </c>
      <c r="M6" s="60">
        <f>MAX(0,H6*(J6-L6))</f>
        <v>24410.272562671933</v>
      </c>
      <c r="N6" s="57">
        <v>20</v>
      </c>
      <c r="O6" s="61">
        <f t="shared" ref="O6:O25" si="1">PV($C$48,N6,-I6)</f>
        <v>50216.165273957144</v>
      </c>
      <c r="P6" s="60">
        <f t="shared" ref="P6:P25" si="2">$C$51*I6/SUM($I$6:$I$25)</f>
        <v>15418.454468683609</v>
      </c>
      <c r="Q6" s="60">
        <v>6</v>
      </c>
      <c r="R6" s="60">
        <f>H6*Q6</f>
        <v>18000</v>
      </c>
      <c r="S6" s="60"/>
      <c r="T6" s="60">
        <f>IF(ISERROR(R6/O6),0,R6/O6)</f>
        <v>0.35845030981159109</v>
      </c>
      <c r="U6" s="60">
        <f>IF(O6=0,0,(R6+P6)/O6)</f>
        <v>0.66549196431801061</v>
      </c>
      <c r="V6" s="57">
        <f>IF(OR($R6=0,ISERROR(R6/I6)),"-",(VLOOKUP($N6,'APP 2885'!B10:G59,6)*$I6)/($R6+$P6))</f>
        <v>4.7615756781665466</v>
      </c>
      <c r="W6" s="57"/>
      <c r="X6" s="60">
        <f>IF(ISERROR(M6/O6),0,M6/O6)</f>
        <v>0.48610387570417424</v>
      </c>
      <c r="Y6" s="60">
        <f>IF(O6=0,0,(M6+P6)/O6)</f>
        <v>0.79314553021059375</v>
      </c>
      <c r="Z6" s="57">
        <f>IF($M6=0,"-",(VLOOKUP($N6,'APP 2885'!B10:G59,4)*$I6)/(M6+P6))</f>
        <v>3.6322024524185852</v>
      </c>
      <c r="AA6" s="6"/>
    </row>
    <row r="7" spans="1:27" s="47" customFormat="1" ht="14.5" x14ac:dyDescent="0.35">
      <c r="A7" s="49"/>
      <c r="B7" s="46" t="s">
        <v>28</v>
      </c>
      <c r="C7" s="50" t="s">
        <v>29</v>
      </c>
      <c r="D7" s="46" t="s">
        <v>32</v>
      </c>
      <c r="E7" s="57">
        <v>9</v>
      </c>
      <c r="F7" s="57">
        <f t="shared" ref="F7:F8" si="3">I7/H7</f>
        <v>2.1</v>
      </c>
      <c r="G7" s="58" t="s">
        <v>31</v>
      </c>
      <c r="H7" s="57">
        <v>27590</v>
      </c>
      <c r="I7" s="59">
        <v>57939</v>
      </c>
      <c r="J7" s="57">
        <v>10.74</v>
      </c>
      <c r="K7" s="60">
        <f>H7*J7</f>
        <v>296316.60000000003</v>
      </c>
      <c r="L7" s="60">
        <f t="shared" si="0"/>
        <v>1.3239051486380493</v>
      </c>
      <c r="M7" s="60">
        <f>MAX(0,H7*(J7-L7))</f>
        <v>259790.05694907621</v>
      </c>
      <c r="N7" s="57">
        <v>25</v>
      </c>
      <c r="O7" s="61">
        <f t="shared" si="1"/>
        <v>811700.95668719488</v>
      </c>
      <c r="P7" s="60">
        <f t="shared" si="2"/>
        <v>220575.2675212493</v>
      </c>
      <c r="Q7" s="60">
        <v>10</v>
      </c>
      <c r="R7" s="60">
        <f>H7*Q7</f>
        <v>275900</v>
      </c>
      <c r="S7" s="60"/>
      <c r="T7" s="60">
        <f>IF(ISERROR(R7/O7),0,R7/O7)</f>
        <v>0.33990350476613218</v>
      </c>
      <c r="U7" s="60">
        <f>IF(O7=0,0,(R7+P7)/O7)</f>
        <v>0.61164800094300731</v>
      </c>
      <c r="V7" s="57">
        <f>IF(OR($R7=0,ISERROR(R7/I7)),"-",(VLOOKUP($N7,'APP 2885'!B10:G59,6)*$I7)/($R7+$P7))</f>
        <v>5.5255786806793665</v>
      </c>
      <c r="W7" s="57"/>
      <c r="X7" s="60">
        <f>IF(ISERROR(M7/O7),0,M7/O7)</f>
        <v>0.32005636411882593</v>
      </c>
      <c r="Y7" s="60">
        <f>IF(O7=0,0,(M7+P7)/O7)</f>
        <v>0.591800860295701</v>
      </c>
      <c r="Z7" s="57">
        <f>IF($M7=0,"-",(VLOOKUP($N7,'APP 2885'!B10:G59,4)*$I7)/(M7+P7))</f>
        <v>5.1912459808577376</v>
      </c>
      <c r="AA7" s="6"/>
    </row>
    <row r="8" spans="1:27" s="47" customFormat="1" ht="14.5" x14ac:dyDescent="0.35">
      <c r="A8" s="49"/>
      <c r="B8" s="46" t="s">
        <v>28</v>
      </c>
      <c r="C8" s="50" t="s">
        <v>29</v>
      </c>
      <c r="D8" s="46" t="s">
        <v>33</v>
      </c>
      <c r="E8" s="57">
        <v>5</v>
      </c>
      <c r="F8" s="57">
        <f t="shared" si="3"/>
        <v>2.1</v>
      </c>
      <c r="G8" s="58" t="s">
        <v>31</v>
      </c>
      <c r="H8" s="57">
        <v>5750</v>
      </c>
      <c r="I8" s="59">
        <v>12075</v>
      </c>
      <c r="J8" s="57">
        <v>10.74</v>
      </c>
      <c r="K8" s="60">
        <f>H8*J8</f>
        <v>61755</v>
      </c>
      <c r="L8" s="60">
        <f t="shared" si="0"/>
        <v>1.3239051486380493</v>
      </c>
      <c r="M8" s="60">
        <f>MAX(0,H8*(J8-L8))</f>
        <v>54142.545395331217</v>
      </c>
      <c r="N8" s="57">
        <v>25</v>
      </c>
      <c r="O8" s="61">
        <f t="shared" si="1"/>
        <v>169165.65788152849</v>
      </c>
      <c r="P8" s="60">
        <f t="shared" si="2"/>
        <v>45969.836471445575</v>
      </c>
      <c r="Q8" s="60">
        <v>10.25</v>
      </c>
      <c r="R8" s="60">
        <f>H8*Q8</f>
        <v>58937.5</v>
      </c>
      <c r="S8" s="60"/>
      <c r="T8" s="60">
        <f>IF(ISERROR(R8/O8),0,R8/O8)</f>
        <v>0.34840109238528544</v>
      </c>
      <c r="U8" s="60">
        <f>IF(O8=0,0,(R8+P8)/O8)</f>
        <v>0.62014558856216051</v>
      </c>
      <c r="V8" s="57">
        <f>IF(OR($R8=0,ISERROR(R8/I8)),"-",(VLOOKUP($N8,'APP 2885'!B10:G59,6)*$I8)/($R8+$P8))</f>
        <v>5.449864058417095</v>
      </c>
      <c r="W8" s="57"/>
      <c r="X8" s="60">
        <f>IF(ISERROR(M8/O8),0,M8/O8)</f>
        <v>0.32005636411882593</v>
      </c>
      <c r="Y8" s="60">
        <f>IF(O8=0,0,(M8+P8)/O8)</f>
        <v>0.591800860295701</v>
      </c>
      <c r="Z8" s="57">
        <f>IF($M8=0,"-",(VLOOKUP($N8,'APP 2885'!B10:G59,4)*$I8)/(M8+P8))</f>
        <v>5.1912459808577367</v>
      </c>
      <c r="AA8" s="6"/>
    </row>
    <row r="9" spans="1:27" s="47" customFormat="1" ht="14.5" x14ac:dyDescent="0.35">
      <c r="A9" s="49"/>
      <c r="B9" s="46" t="s">
        <v>34</v>
      </c>
      <c r="C9" s="50" t="s">
        <v>35</v>
      </c>
      <c r="D9" s="46" t="s">
        <v>35</v>
      </c>
      <c r="E9" s="57">
        <v>1</v>
      </c>
      <c r="F9" s="57">
        <f>I9/H9</f>
        <v>649</v>
      </c>
      <c r="G9" s="57" t="s">
        <v>36</v>
      </c>
      <c r="H9" s="57">
        <v>2</v>
      </c>
      <c r="I9" s="59">
        <v>1298</v>
      </c>
      <c r="J9" s="60">
        <v>900</v>
      </c>
      <c r="K9" s="60">
        <f t="shared" ref="K9:K22" si="4">H9*J9</f>
        <v>1800</v>
      </c>
      <c r="L9" s="60">
        <f t="shared" si="0"/>
        <v>257.9775486620486</v>
      </c>
      <c r="M9" s="60">
        <f t="shared" ref="M9:M22" si="5">MAX(0,H9*(J9-L9))</f>
        <v>1284.0449026759029</v>
      </c>
      <c r="N9" s="57">
        <v>12</v>
      </c>
      <c r="O9" s="61">
        <f t="shared" si="1"/>
        <v>11465.668829424383</v>
      </c>
      <c r="P9" s="60">
        <f t="shared" si="2"/>
        <v>4941.519481568228</v>
      </c>
      <c r="Q9" s="60">
        <v>800</v>
      </c>
      <c r="R9" s="60">
        <f t="shared" ref="R9:R22" si="6">H9*Q9</f>
        <v>1600</v>
      </c>
      <c r="S9" s="60"/>
      <c r="T9" s="60">
        <f t="shared" ref="T9:T22" si="7">IF(ISERROR(R9/O9),0,R9/O9)</f>
        <v>0.13954702719948747</v>
      </c>
      <c r="U9" s="60">
        <f t="shared" ref="U9:U22" si="8">IF(O9=0,0,(R9+P9)/O9)</f>
        <v>0.57053099813773667</v>
      </c>
      <c r="V9" s="57">
        <f>IF(OR($R9=0,ISERROR(R9/I9)),"-",(VLOOKUP($N9,'APP 2885'!B10:G59,6)*$I9)/($R9+$P9))</f>
        <v>3.2560922061021982</v>
      </c>
      <c r="W9" s="57"/>
      <c r="X9" s="60">
        <f t="shared" ref="X9:X22" si="9">IF(ISERROR(M9/O9),0,M9/O9)</f>
        <v>0.11199040559942341</v>
      </c>
      <c r="Y9" s="60">
        <f t="shared" ref="Y9:Y22" si="10">IF(O9=0,0,(M9+P9)/O9)</f>
        <v>0.54297437653767266</v>
      </c>
      <c r="Z9" s="57">
        <f>IF($M9=0,"-",(VLOOKUP($N9,'APP 2885'!B10:G59,4)*$I9)/(M9+P9))</f>
        <v>3.1107476856255043</v>
      </c>
      <c r="AA9" s="6"/>
    </row>
    <row r="10" spans="1:27" s="47" customFormat="1" ht="14.5" x14ac:dyDescent="0.35">
      <c r="A10" s="49"/>
      <c r="B10" s="46" t="s">
        <v>37</v>
      </c>
      <c r="C10" s="50" t="s">
        <v>35</v>
      </c>
      <c r="D10" s="46" t="s">
        <v>35</v>
      </c>
      <c r="E10" s="57">
        <v>1</v>
      </c>
      <c r="F10" s="57">
        <f>I10/H10</f>
        <v>141</v>
      </c>
      <c r="G10" s="57" t="s">
        <v>36</v>
      </c>
      <c r="H10" s="57">
        <v>2</v>
      </c>
      <c r="I10" s="59">
        <v>282</v>
      </c>
      <c r="J10" s="60">
        <v>900</v>
      </c>
      <c r="K10" s="60">
        <f t="shared" ref="K10" si="11">H10*J10</f>
        <v>1800</v>
      </c>
      <c r="L10" s="60">
        <f t="shared" si="0"/>
        <v>56.047510572186219</v>
      </c>
      <c r="M10" s="60">
        <f t="shared" ref="M10" si="12">MAX(0,H10*(J10-L10))</f>
        <v>1687.9049788556276</v>
      </c>
      <c r="N10" s="57">
        <v>12</v>
      </c>
      <c r="O10" s="61">
        <f t="shared" si="1"/>
        <v>2491.0004698749431</v>
      </c>
      <c r="P10" s="60">
        <f t="shared" si="2"/>
        <v>1073.5812741157476</v>
      </c>
      <c r="Q10" s="60">
        <v>800</v>
      </c>
      <c r="R10" s="60">
        <f t="shared" ref="R10" si="13">H10*Q10</f>
        <v>1600</v>
      </c>
      <c r="S10" s="60"/>
      <c r="T10" s="60">
        <f t="shared" ref="T10" si="14">IF(ISERROR(R10/O10),0,R10/O10)</f>
        <v>0.64231220320898841</v>
      </c>
      <c r="U10" s="60">
        <f t="shared" ref="U10" si="15">IF(O10=0,0,(R10+P10)/O10)</f>
        <v>1.0732961741472378</v>
      </c>
      <c r="V10" s="57">
        <f>IF(OR($R10=0,ISERROR(R10/I10)),"-",(VLOOKUP($N10,'APP 2885'!B11:G60,6)*$I10)/($R10+$P10))</f>
        <v>1.7308377511472874</v>
      </c>
      <c r="W10" s="57"/>
      <c r="X10" s="60">
        <f t="shared" ref="X10" si="16">IF(ISERROR(M10/O10),0,M10/O10)</f>
        <v>0.67760122861011196</v>
      </c>
      <c r="Y10" s="60">
        <f t="shared" ref="Y10" si="17">IF(O10=0,0,(M10+P10)/O10)</f>
        <v>1.1085851995483613</v>
      </c>
      <c r="Z10" s="57">
        <f>IF($M10=0,"-",(VLOOKUP($N10,'APP 2885'!B11:G60,4)*$I10)/(M10+P10))</f>
        <v>1.5236143201773209</v>
      </c>
      <c r="AA10" s="6"/>
    </row>
    <row r="11" spans="1:27" s="47" customFormat="1" ht="14.5" x14ac:dyDescent="0.35">
      <c r="A11" s="49"/>
      <c r="B11" s="46" t="s">
        <v>38</v>
      </c>
      <c r="C11" s="50" t="s">
        <v>39</v>
      </c>
      <c r="D11" s="46" t="s">
        <v>40</v>
      </c>
      <c r="E11" s="57">
        <v>2</v>
      </c>
      <c r="F11" s="57">
        <f t="shared" ref="F11:F22" si="18">I11/H11</f>
        <v>3.7986970217640326</v>
      </c>
      <c r="G11" s="58" t="s">
        <v>31</v>
      </c>
      <c r="H11" s="57">
        <v>1396.8</v>
      </c>
      <c r="I11" s="61">
        <v>5306.02</v>
      </c>
      <c r="J11" s="60">
        <v>6.06</v>
      </c>
      <c r="K11" s="60">
        <f t="shared" si="4"/>
        <v>8464.6079999999984</v>
      </c>
      <c r="L11" s="60">
        <f t="shared" si="0"/>
        <v>1.3161262982314434</v>
      </c>
      <c r="M11" s="60">
        <f t="shared" si="5"/>
        <v>6626.2427866303187</v>
      </c>
      <c r="N11" s="57">
        <v>10</v>
      </c>
      <c r="O11" s="61">
        <f t="shared" si="1"/>
        <v>40852.560297103999</v>
      </c>
      <c r="P11" s="60">
        <f t="shared" si="2"/>
        <v>20200.155007388792</v>
      </c>
      <c r="Q11" s="60">
        <v>3</v>
      </c>
      <c r="R11" s="60">
        <f t="shared" si="6"/>
        <v>4190.3999999999996</v>
      </c>
      <c r="S11" s="60"/>
      <c r="T11" s="60">
        <f t="shared" si="7"/>
        <v>0.10257374249067698</v>
      </c>
      <c r="U11" s="60">
        <f t="shared" si="8"/>
        <v>0.59703859023782702</v>
      </c>
      <c r="V11" s="57">
        <f>IF(OR($R11=0,ISERROR(R11/I11)),"-",(VLOOKUP($N11,'APP 2885'!B10:G59,6)*$I11)/($R11+$P11))</f>
        <v>3.0056755455458761</v>
      </c>
      <c r="W11" s="57"/>
      <c r="X11" s="60">
        <f t="shared" si="9"/>
        <v>0.16219895983116747</v>
      </c>
      <c r="Y11" s="60">
        <f t="shared" si="10"/>
        <v>0.65666380757831744</v>
      </c>
      <c r="Z11" s="57">
        <f>IF($M11=0,"-",(VLOOKUP($N11,'APP 2885'!B10:G59,4)*$I11)/(M11+P11))</f>
        <v>2.484254938427032</v>
      </c>
      <c r="AA11" s="6"/>
    </row>
    <row r="12" spans="1:27" s="47" customFormat="1" ht="14.5" x14ac:dyDescent="0.35">
      <c r="A12" s="49"/>
      <c r="B12" s="46" t="s">
        <v>41</v>
      </c>
      <c r="C12" s="50" t="s">
        <v>42</v>
      </c>
      <c r="D12" s="46" t="s">
        <v>43</v>
      </c>
      <c r="E12" s="57">
        <v>9</v>
      </c>
      <c r="F12" s="57">
        <f t="shared" si="18"/>
        <v>0.31</v>
      </c>
      <c r="G12" s="57" t="s">
        <v>44</v>
      </c>
      <c r="H12" s="61">
        <v>33805</v>
      </c>
      <c r="I12" s="59">
        <v>10479.549999999999</v>
      </c>
      <c r="J12" s="60">
        <v>1.65</v>
      </c>
      <c r="K12" s="60">
        <f t="shared" si="4"/>
        <v>55778.25</v>
      </c>
      <c r="L12" s="60">
        <f t="shared" si="0"/>
        <v>0.21298675381016</v>
      </c>
      <c r="M12" s="60">
        <f t="shared" si="5"/>
        <v>48578.232787447538</v>
      </c>
      <c r="N12" s="57">
        <v>30</v>
      </c>
      <c r="O12" s="61">
        <f t="shared" si="1"/>
        <v>160000.38250116573</v>
      </c>
      <c r="P12" s="60">
        <f t="shared" si="2"/>
        <v>39895.91716723291</v>
      </c>
      <c r="Q12" s="60">
        <v>2</v>
      </c>
      <c r="R12" s="60">
        <f t="shared" si="6"/>
        <v>67610</v>
      </c>
      <c r="S12" s="60"/>
      <c r="T12" s="60">
        <f t="shared" si="7"/>
        <v>0.42256148981085973</v>
      </c>
      <c r="U12" s="60">
        <f t="shared" si="8"/>
        <v>0.6719103760045676</v>
      </c>
      <c r="V12" s="57">
        <f>IF(OR($R12=0,ISERROR(R12/I12)),"-",(VLOOKUP($N12,'APP 2885'!B10:G59,6)*$I12)/($R12+$P12))</f>
        <v>5.5307435684686794</v>
      </c>
      <c r="W12" s="57"/>
      <c r="X12" s="60">
        <f t="shared" si="9"/>
        <v>0.30361322909395921</v>
      </c>
      <c r="Y12" s="60">
        <f t="shared" si="10"/>
        <v>0.55296211528766714</v>
      </c>
      <c r="Z12" s="57">
        <f>IF($M12=0,"-",(VLOOKUP($N12,'APP 2885'!B10:G59,4)*$I12)/(M12+P12))</f>
        <v>6.1095267858112337</v>
      </c>
      <c r="AA12" s="6"/>
    </row>
    <row r="13" spans="1:27" s="47" customFormat="1" ht="14.5" x14ac:dyDescent="0.35">
      <c r="A13" s="49"/>
      <c r="B13" s="46" t="s">
        <v>45</v>
      </c>
      <c r="C13" s="50" t="s">
        <v>42</v>
      </c>
      <c r="D13" s="46" t="s">
        <v>46</v>
      </c>
      <c r="E13" s="57">
        <v>5</v>
      </c>
      <c r="F13" s="57">
        <f t="shared" si="18"/>
        <v>0.31999999999999995</v>
      </c>
      <c r="G13" s="57" t="s">
        <v>44</v>
      </c>
      <c r="H13" s="61">
        <v>15177</v>
      </c>
      <c r="I13" s="59">
        <v>4856.6399999999994</v>
      </c>
      <c r="J13" s="60">
        <v>1.63</v>
      </c>
      <c r="K13" s="60">
        <f t="shared" si="4"/>
        <v>24738.51</v>
      </c>
      <c r="L13" s="60">
        <f t="shared" si="0"/>
        <v>0.21985729425564898</v>
      </c>
      <c r="M13" s="60">
        <f t="shared" si="5"/>
        <v>21401.735845082014</v>
      </c>
      <c r="N13" s="57">
        <v>30</v>
      </c>
      <c r="O13" s="61">
        <f t="shared" si="1"/>
        <v>74150.536775955203</v>
      </c>
      <c r="P13" s="60">
        <f t="shared" si="2"/>
        <v>18489.353755750013</v>
      </c>
      <c r="Q13" s="60">
        <v>2.5</v>
      </c>
      <c r="R13" s="60">
        <f t="shared" si="6"/>
        <v>37942.5</v>
      </c>
      <c r="S13" s="60"/>
      <c r="T13" s="60">
        <f t="shared" si="7"/>
        <v>0.51169555406783807</v>
      </c>
      <c r="U13" s="60">
        <f t="shared" si="8"/>
        <v>0.76104444026154605</v>
      </c>
      <c r="V13" s="57">
        <f>IF(OR($R13=0,ISERROR(R13/I13)),"-",(VLOOKUP($N13,'APP 2885'!B10:G59,6)*$I13)/($R13+$P13))</f>
        <v>4.8829789616458035</v>
      </c>
      <c r="W13" s="57"/>
      <c r="X13" s="60">
        <f t="shared" si="9"/>
        <v>0.28862550125223041</v>
      </c>
      <c r="Y13" s="60">
        <f t="shared" si="10"/>
        <v>0.5379743874459384</v>
      </c>
      <c r="Z13" s="57">
        <f>IF($M13=0,"-",(VLOOKUP($N13,'APP 2885'!B10:G59,4)*$I13)/(M13+P13))</f>
        <v>6.2797354924788777</v>
      </c>
      <c r="AA13" s="6"/>
    </row>
    <row r="14" spans="1:27" s="47" customFormat="1" ht="14.5" x14ac:dyDescent="0.35">
      <c r="A14" s="49"/>
      <c r="B14" s="46" t="s">
        <v>47</v>
      </c>
      <c r="C14" s="50" t="s">
        <v>48</v>
      </c>
      <c r="D14" s="46" t="s">
        <v>49</v>
      </c>
      <c r="E14" s="57">
        <v>2</v>
      </c>
      <c r="F14" s="57">
        <f t="shared" si="18"/>
        <v>5.6000553097345133E-2</v>
      </c>
      <c r="G14" s="57" t="s">
        <v>44</v>
      </c>
      <c r="H14" s="61">
        <v>5424</v>
      </c>
      <c r="I14" s="59">
        <v>303.74700000000001</v>
      </c>
      <c r="J14" s="57">
        <v>1.08</v>
      </c>
      <c r="K14" s="60">
        <f t="shared" si="4"/>
        <v>5857.92</v>
      </c>
      <c r="L14" s="60">
        <f t="shared" si="0"/>
        <v>3.8475406502506589E-2</v>
      </c>
      <c r="M14" s="60">
        <f t="shared" si="5"/>
        <v>5649.2293951304046</v>
      </c>
      <c r="N14" s="57">
        <v>30</v>
      </c>
      <c r="O14" s="61">
        <f t="shared" si="1"/>
        <v>4637.5689971021266</v>
      </c>
      <c r="P14" s="60">
        <f t="shared" si="2"/>
        <v>1156.3726640738867</v>
      </c>
      <c r="Q14" s="60">
        <v>1.25</v>
      </c>
      <c r="R14" s="60">
        <f t="shared" si="6"/>
        <v>6780</v>
      </c>
      <c r="S14" s="60"/>
      <c r="T14" s="60">
        <f t="shared" si="7"/>
        <v>1.4619728578133526</v>
      </c>
      <c r="U14" s="60">
        <f t="shared" si="8"/>
        <v>1.7113217440070607</v>
      </c>
      <c r="V14" s="57">
        <f>IF(OR($R14=0,ISERROR(R14/I14)),"-",(VLOOKUP($N14,'APP 2885'!B10:G59,6)*$I14)/($R14+$P14))</f>
        <v>2.1715168428662834</v>
      </c>
      <c r="W14" s="57"/>
      <c r="X14" s="60">
        <f t="shared" si="9"/>
        <v>1.2181445491507368</v>
      </c>
      <c r="Y14" s="60">
        <f t="shared" si="10"/>
        <v>1.4674934353444449</v>
      </c>
      <c r="Z14" s="57">
        <f>IF($M14=0,"-",(VLOOKUP($N14,'APP 2885'!B10:G59,4)*$I14)/(M14+P14))</f>
        <v>2.3021137768128352</v>
      </c>
      <c r="AA14" s="6"/>
    </row>
    <row r="15" spans="1:27" s="47" customFormat="1" ht="14.5" x14ac:dyDescent="0.35">
      <c r="A15" s="49"/>
      <c r="B15" s="46" t="s">
        <v>50</v>
      </c>
      <c r="C15" s="50" t="s">
        <v>51</v>
      </c>
      <c r="D15" s="46" t="s">
        <v>52</v>
      </c>
      <c r="E15" s="57">
        <v>1</v>
      </c>
      <c r="F15" s="57">
        <f t="shared" si="18"/>
        <v>6</v>
      </c>
      <c r="G15" s="57" t="s">
        <v>44</v>
      </c>
      <c r="H15" s="62">
        <v>1182</v>
      </c>
      <c r="I15" s="62">
        <v>7092</v>
      </c>
      <c r="J15" s="60">
        <v>8</v>
      </c>
      <c r="K15" s="60">
        <f t="shared" si="4"/>
        <v>9456</v>
      </c>
      <c r="L15" s="60">
        <f t="shared" si="0"/>
        <v>3.347744351597143</v>
      </c>
      <c r="M15" s="60">
        <f t="shared" si="5"/>
        <v>5498.9661764121765</v>
      </c>
      <c r="N15" s="57">
        <v>20</v>
      </c>
      <c r="O15" s="61">
        <f t="shared" si="1"/>
        <v>87934.084968618277</v>
      </c>
      <c r="P15" s="60">
        <f t="shared" si="2"/>
        <v>26999.42693627263</v>
      </c>
      <c r="Q15" s="62">
        <v>14.984</v>
      </c>
      <c r="R15" s="60">
        <f t="shared" si="6"/>
        <v>17711.088</v>
      </c>
      <c r="S15" s="60"/>
      <c r="T15" s="60">
        <f t="shared" si="7"/>
        <v>0.20141322908313306</v>
      </c>
      <c r="U15" s="60">
        <f t="shared" si="8"/>
        <v>0.5084548835895526</v>
      </c>
      <c r="V15" s="57">
        <f>IF(OR($R15=0,ISERROR(R15/I15)),"-",(VLOOKUP($N15,'APP 2885'!B10:G59,6)*$I15)/($R15+$P15))</f>
        <v>6.2321957239177728</v>
      </c>
      <c r="W15" s="57"/>
      <c r="X15" s="60">
        <f t="shared" si="9"/>
        <v>6.2535092943477325E-2</v>
      </c>
      <c r="Y15" s="60">
        <f t="shared" si="10"/>
        <v>0.36957674744989683</v>
      </c>
      <c r="Z15" s="57">
        <f>IF($M15=0,"-",(VLOOKUP($N15,'APP 2885'!B10:G59,4)*$I15)/(M15+P15))</f>
        <v>7.7950389461293526</v>
      </c>
      <c r="AA15" s="6"/>
    </row>
    <row r="16" spans="1:27" s="47" customFormat="1" ht="14.5" x14ac:dyDescent="0.35">
      <c r="A16" s="49"/>
      <c r="B16" s="46" t="s">
        <v>53</v>
      </c>
      <c r="C16" s="50" t="s">
        <v>54</v>
      </c>
      <c r="D16" s="46" t="s">
        <v>55</v>
      </c>
      <c r="E16" s="57">
        <v>4</v>
      </c>
      <c r="F16" s="57">
        <f t="shared" si="18"/>
        <v>0.35981544092956252</v>
      </c>
      <c r="G16" s="57" t="s">
        <v>44</v>
      </c>
      <c r="H16" s="61">
        <v>195059.5</v>
      </c>
      <c r="I16" s="63">
        <v>70185.42</v>
      </c>
      <c r="J16" s="60">
        <v>0.88</v>
      </c>
      <c r="K16" s="60">
        <f t="shared" si="4"/>
        <v>171652.36000000002</v>
      </c>
      <c r="L16" s="60">
        <f t="shared" si="0"/>
        <v>0.24721265398180289</v>
      </c>
      <c r="M16" s="60">
        <f t="shared" si="5"/>
        <v>123431.18332063651</v>
      </c>
      <c r="N16" s="57">
        <v>30</v>
      </c>
      <c r="O16" s="61">
        <f t="shared" si="1"/>
        <v>1071581.703985855</v>
      </c>
      <c r="P16" s="60">
        <f t="shared" si="2"/>
        <v>267197.70435442863</v>
      </c>
      <c r="Q16" s="60">
        <v>2</v>
      </c>
      <c r="R16" s="60">
        <f t="shared" si="6"/>
        <v>390119</v>
      </c>
      <c r="S16" s="60"/>
      <c r="T16" s="60">
        <f t="shared" si="7"/>
        <v>0.36405903399518064</v>
      </c>
      <c r="U16" s="60">
        <f t="shared" si="8"/>
        <v>0.61340792018888868</v>
      </c>
      <c r="V16" s="57">
        <f>IF(OR($R16=0,ISERROR(R16/I16)),"-",(VLOOKUP($N16,'APP 2885'!B10:G59,6)*$I16)/($R16+$P16))</f>
        <v>6.0582262934105975</v>
      </c>
      <c r="W16" s="57"/>
      <c r="X16" s="60">
        <f t="shared" si="9"/>
        <v>0.11518597495787948</v>
      </c>
      <c r="Y16" s="60">
        <f t="shared" si="10"/>
        <v>0.36453486115158745</v>
      </c>
      <c r="Z16" s="57">
        <f>IF($M16=0,"-",(VLOOKUP($N16,'APP 2885'!B10:G59,4)*$I16)/(M16+P16))</f>
        <v>9.267527512228801</v>
      </c>
      <c r="AA16" s="6"/>
    </row>
    <row r="17" spans="1:27" s="47" customFormat="1" ht="14.5" x14ac:dyDescent="0.35">
      <c r="A17" s="49"/>
      <c r="B17" s="46" t="s">
        <v>56</v>
      </c>
      <c r="C17" s="50" t="s">
        <v>57</v>
      </c>
      <c r="D17" s="46" t="s">
        <v>58</v>
      </c>
      <c r="E17" s="57">
        <v>5</v>
      </c>
      <c r="F17" s="57">
        <f t="shared" si="18"/>
        <v>0.19</v>
      </c>
      <c r="G17" s="57" t="s">
        <v>44</v>
      </c>
      <c r="H17" s="61">
        <v>20820</v>
      </c>
      <c r="I17" s="63">
        <v>3955.8</v>
      </c>
      <c r="J17" s="60">
        <v>2.15</v>
      </c>
      <c r="K17" s="60">
        <f t="shared" si="4"/>
        <v>44763</v>
      </c>
      <c r="L17" s="60">
        <f t="shared" si="0"/>
        <v>0.13054026846429162</v>
      </c>
      <c r="M17" s="60">
        <f t="shared" si="5"/>
        <v>42045.151610573448</v>
      </c>
      <c r="N17" s="57">
        <v>30</v>
      </c>
      <c r="O17" s="61">
        <f t="shared" si="1"/>
        <v>60396.63087614558</v>
      </c>
      <c r="P17" s="60">
        <f t="shared" si="2"/>
        <v>15059.832638819413</v>
      </c>
      <c r="Q17" s="60">
        <v>2</v>
      </c>
      <c r="R17" s="60">
        <f t="shared" si="6"/>
        <v>41640</v>
      </c>
      <c r="S17" s="60"/>
      <c r="T17" s="60">
        <f t="shared" si="7"/>
        <v>0.68944243074403422</v>
      </c>
      <c r="U17" s="60">
        <f t="shared" si="8"/>
        <v>0.9387913169377422</v>
      </c>
      <c r="V17" s="57">
        <f>IF(OR($R17=0,ISERROR(R17/I17)),"-",(VLOOKUP($N17,'APP 2885'!B10:G59,6)*$I17)/($R17+$P17))</f>
        <v>3.958455860879122</v>
      </c>
      <c r="W17" s="57"/>
      <c r="X17" s="60">
        <f t="shared" si="9"/>
        <v>0.69615061304983683</v>
      </c>
      <c r="Y17" s="60">
        <f t="shared" si="10"/>
        <v>0.94549949924354471</v>
      </c>
      <c r="Z17" s="57">
        <f>IF($M17=0,"-",(VLOOKUP($N17,'APP 2885'!B10:G59,4)*$I17)/(M17+P17))</f>
        <v>3.5730710144127102</v>
      </c>
      <c r="AA17" s="6"/>
    </row>
    <row r="18" spans="1:27" s="47" customFormat="1" ht="14.5" x14ac:dyDescent="0.35">
      <c r="A18" s="49"/>
      <c r="B18" s="46" t="s">
        <v>59</v>
      </c>
      <c r="C18" s="50" t="s">
        <v>60</v>
      </c>
      <c r="D18" s="46" t="s">
        <v>61</v>
      </c>
      <c r="E18" s="57">
        <v>1</v>
      </c>
      <c r="F18" s="57">
        <f t="shared" si="18"/>
        <v>4.33</v>
      </c>
      <c r="G18" s="58" t="s">
        <v>31</v>
      </c>
      <c r="H18" s="57">
        <v>400</v>
      </c>
      <c r="I18" s="59">
        <v>1732</v>
      </c>
      <c r="J18" s="60">
        <v>21</v>
      </c>
      <c r="K18" s="60">
        <f t="shared" si="4"/>
        <v>8400</v>
      </c>
      <c r="L18" s="60">
        <f t="shared" si="0"/>
        <v>2.2670765102267616</v>
      </c>
      <c r="M18" s="60">
        <f t="shared" si="5"/>
        <v>7493.1693959092954</v>
      </c>
      <c r="N18" s="57">
        <v>18</v>
      </c>
      <c r="O18" s="61">
        <f t="shared" si="1"/>
        <v>20151.791202015662</v>
      </c>
      <c r="P18" s="60">
        <f t="shared" si="2"/>
        <v>6593.7686764839536</v>
      </c>
      <c r="Q18" s="60">
        <v>15</v>
      </c>
      <c r="R18" s="60">
        <f t="shared" si="6"/>
        <v>6000</v>
      </c>
      <c r="S18" s="60"/>
      <c r="T18" s="60">
        <f t="shared" si="7"/>
        <v>0.29774028223356425</v>
      </c>
      <c r="U18" s="60">
        <f t="shared" si="8"/>
        <v>0.62494537335342548</v>
      </c>
      <c r="V18" s="57">
        <f>IF(OR($R18=0,ISERROR(R18/I18)),"-",(VLOOKUP($N18,'APP 2885'!B10:G59,6)*$I18)/($R18+$P18))</f>
        <v>3.4153373390377761</v>
      </c>
      <c r="W18" s="57"/>
      <c r="X18" s="60">
        <f t="shared" si="9"/>
        <v>0.37183639512698996</v>
      </c>
      <c r="Y18" s="60">
        <f t="shared" si="10"/>
        <v>0.69904148624685114</v>
      </c>
      <c r="Z18" s="57">
        <f>IF($M18=0,"-",(VLOOKUP($N18,'APP 2885'!B10:G59,4)*$I18)/(M18+P18))</f>
        <v>2.77622857423095</v>
      </c>
      <c r="AA18" s="6"/>
    </row>
    <row r="19" spans="1:27" s="47" customFormat="1" ht="14.5" x14ac:dyDescent="0.35">
      <c r="A19" s="49"/>
      <c r="B19" s="46" t="s">
        <v>62</v>
      </c>
      <c r="C19" s="50" t="s">
        <v>35</v>
      </c>
      <c r="D19" s="46" t="s">
        <v>63</v>
      </c>
      <c r="E19" s="57">
        <v>6</v>
      </c>
      <c r="F19" s="57">
        <f t="shared" si="18"/>
        <v>38</v>
      </c>
      <c r="G19" s="58" t="s">
        <v>31</v>
      </c>
      <c r="H19" s="57">
        <v>192</v>
      </c>
      <c r="I19" s="59">
        <v>7296</v>
      </c>
      <c r="J19" s="60">
        <v>137.9</v>
      </c>
      <c r="K19" s="60">
        <f t="shared" si="4"/>
        <v>26476.800000000003</v>
      </c>
      <c r="L19" s="60">
        <f t="shared" si="0"/>
        <v>21.20238089344857</v>
      </c>
      <c r="M19" s="60">
        <f t="shared" si="5"/>
        <v>22405.942868457874</v>
      </c>
      <c r="N19" s="57">
        <v>20</v>
      </c>
      <c r="O19" s="61">
        <f t="shared" si="1"/>
        <v>90463.491812047243</v>
      </c>
      <c r="P19" s="60">
        <f t="shared" si="2"/>
        <v>27776.060198398915</v>
      </c>
      <c r="Q19" s="60">
        <v>150</v>
      </c>
      <c r="R19" s="60">
        <f t="shared" si="6"/>
        <v>28800</v>
      </c>
      <c r="S19" s="60"/>
      <c r="T19" s="60">
        <f t="shared" si="7"/>
        <v>0.31836047253003152</v>
      </c>
      <c r="U19" s="60">
        <f t="shared" si="8"/>
        <v>0.62540212703645104</v>
      </c>
      <c r="V19" s="57">
        <f>IF(OR($R19=0,ISERROR(R19/I19)),"-",(VLOOKUP($N19,'APP 2885'!B10:G59,6)*$I19)/($R19+$P19))</f>
        <v>5.0668045635336112</v>
      </c>
      <c r="W19" s="57"/>
      <c r="X19" s="60">
        <f t="shared" si="9"/>
        <v>0.247679394412609</v>
      </c>
      <c r="Y19" s="60">
        <f t="shared" si="10"/>
        <v>0.55472104891902851</v>
      </c>
      <c r="Z19" s="57">
        <f>IF($M19=0,"-",(VLOOKUP($N19,'APP 2885'!B10:G59,4)*$I19)/(M19+P19))</f>
        <v>5.1933582573973522</v>
      </c>
      <c r="AA19" s="6"/>
    </row>
    <row r="20" spans="1:27" s="47" customFormat="1" ht="14.5" x14ac:dyDescent="0.35">
      <c r="A20" s="49"/>
      <c r="B20" s="46" t="s">
        <v>64</v>
      </c>
      <c r="C20" s="50" t="s">
        <v>65</v>
      </c>
      <c r="D20" s="46" t="s">
        <v>66</v>
      </c>
      <c r="E20" s="57">
        <v>13</v>
      </c>
      <c r="F20" s="57">
        <f t="shared" ref="F20" si="19">I20/H20</f>
        <v>1.1000000000000001</v>
      </c>
      <c r="G20" s="58" t="s">
        <v>31</v>
      </c>
      <c r="H20" s="57">
        <v>1732.6</v>
      </c>
      <c r="I20" s="59">
        <v>1905.8600000000001</v>
      </c>
      <c r="J20" s="60">
        <v>6.72</v>
      </c>
      <c r="K20" s="60">
        <f t="shared" ref="K20" si="20">H20*J20</f>
        <v>11643.071999999998</v>
      </c>
      <c r="L20" s="60">
        <f t="shared" si="0"/>
        <v>0.5759316769629188</v>
      </c>
      <c r="M20" s="60">
        <f t="shared" ref="M20" si="21">MAX(0,H20*(J20-L20))</f>
        <v>10645.212776494045</v>
      </c>
      <c r="N20" s="57">
        <v>18</v>
      </c>
      <c r="O20" s="61">
        <f t="shared" si="1"/>
        <v>22174.649411243397</v>
      </c>
      <c r="P20" s="60">
        <f t="shared" si="2"/>
        <v>7255.6581811568749</v>
      </c>
      <c r="Q20" s="60">
        <v>5</v>
      </c>
      <c r="R20" s="60">
        <f t="shared" ref="R20" si="22">H20*Q20</f>
        <v>8663</v>
      </c>
      <c r="S20" s="60"/>
      <c r="T20" s="60">
        <f t="shared" ref="T20" si="23">IF(ISERROR(R20/O20),0,R20/O20)</f>
        <v>0.39067134002161619</v>
      </c>
      <c r="U20" s="60">
        <f t="shared" ref="U20" si="24">IF(O20=0,0,(R20+P20)/O20)</f>
        <v>0.71787643114147748</v>
      </c>
      <c r="V20" s="57">
        <f>IF(OR($R20=0,ISERROR(R20/I20)),"-",(VLOOKUP($N20,'APP 2885'!B10:G59,6)*$I20)/($R20+$P20))</f>
        <v>2.9732126252968119</v>
      </c>
      <c r="W20" s="57"/>
      <c r="X20" s="60">
        <f t="shared" ref="X20" si="25">IF(ISERROR(M20/O20),0,M20/O20)</f>
        <v>0.48006228098905201</v>
      </c>
      <c r="Y20" s="60">
        <f t="shared" ref="Y20" si="26">IF(O20=0,0,(M20+P20)/O20)</f>
        <v>0.80726737210891342</v>
      </c>
      <c r="Z20" s="57">
        <f>IF($M20=0,"-",(VLOOKUP($N20,'APP 2885'!B10:G59,4)*$I20)/(M20+P20))</f>
        <v>2.4040349154970539</v>
      </c>
      <c r="AA20" s="6"/>
    </row>
    <row r="21" spans="1:27" s="47" customFormat="1" ht="14.5" x14ac:dyDescent="0.35">
      <c r="A21" s="49"/>
      <c r="B21" s="46" t="s">
        <v>64</v>
      </c>
      <c r="C21" s="50" t="s">
        <v>65</v>
      </c>
      <c r="D21" s="46" t="s">
        <v>66</v>
      </c>
      <c r="E21" s="57">
        <v>9</v>
      </c>
      <c r="F21" s="57">
        <f t="shared" si="18"/>
        <v>1.1125237191650854</v>
      </c>
      <c r="G21" s="58" t="s">
        <v>31</v>
      </c>
      <c r="H21" s="57">
        <v>5270</v>
      </c>
      <c r="I21" s="59">
        <v>5863</v>
      </c>
      <c r="J21" s="60">
        <v>6.72</v>
      </c>
      <c r="K21" s="60">
        <f t="shared" si="4"/>
        <v>35414.400000000001</v>
      </c>
      <c r="L21" s="60">
        <f t="shared" si="0"/>
        <v>0.58248877385433706</v>
      </c>
      <c r="M21" s="60">
        <f t="shared" si="5"/>
        <v>32344.684161787645</v>
      </c>
      <c r="N21" s="57">
        <v>18</v>
      </c>
      <c r="O21" s="61">
        <f t="shared" si="1"/>
        <v>68215.907515830142</v>
      </c>
      <c r="P21" s="60">
        <f t="shared" si="2"/>
        <v>22320.592234541236</v>
      </c>
      <c r="Q21" s="60">
        <v>6</v>
      </c>
      <c r="R21" s="60">
        <f t="shared" si="6"/>
        <v>31620</v>
      </c>
      <c r="S21" s="60"/>
      <c r="T21" s="60">
        <f t="shared" si="7"/>
        <v>0.46352824658474684</v>
      </c>
      <c r="U21" s="60">
        <f t="shared" si="8"/>
        <v>0.7907333377046083</v>
      </c>
      <c r="V21" s="57">
        <f>IF(OR($R21=0,ISERROR(R21/I21)),"-",(VLOOKUP($N21,'APP 2885'!B10:G59,6)*$I21)/($R21+$P21))</f>
        <v>2.6992655636206386</v>
      </c>
      <c r="W21" s="57"/>
      <c r="X21" s="60">
        <f t="shared" si="9"/>
        <v>0.47415163617491651</v>
      </c>
      <c r="Y21" s="60">
        <f t="shared" si="10"/>
        <v>0.8013567272947778</v>
      </c>
      <c r="Z21" s="57">
        <f>IF($M21=0,"-",(VLOOKUP($N21,'APP 2885'!B10:G59,4)*$I21)/(M21+P21))</f>
        <v>2.4217665898217349</v>
      </c>
      <c r="AA21" s="6"/>
    </row>
    <row r="22" spans="1:27" s="47" customFormat="1" ht="14.5" x14ac:dyDescent="0.35">
      <c r="A22" s="49"/>
      <c r="B22" s="46" t="s">
        <v>67</v>
      </c>
      <c r="C22" s="44" t="s">
        <v>68</v>
      </c>
      <c r="D22" s="44" t="s">
        <v>68</v>
      </c>
      <c r="E22" s="57">
        <v>8</v>
      </c>
      <c r="F22" s="57">
        <f t="shared" si="18"/>
        <v>0.49753433313270673</v>
      </c>
      <c r="G22" s="57" t="s">
        <v>44</v>
      </c>
      <c r="H22" s="57">
        <v>3851.4326999999998</v>
      </c>
      <c r="I22" s="59">
        <v>1916.22</v>
      </c>
      <c r="J22" s="60">
        <v>24.31</v>
      </c>
      <c r="K22" s="60">
        <f t="shared" si="4"/>
        <v>93628.328936999998</v>
      </c>
      <c r="L22" s="60">
        <f t="shared" si="0"/>
        <v>0.39447555801934669</v>
      </c>
      <c r="M22" s="60">
        <f t="shared" si="5"/>
        <v>92109.032873493532</v>
      </c>
      <c r="N22" s="57">
        <v>45</v>
      </c>
      <c r="O22" s="61">
        <f t="shared" si="1"/>
        <v>33762.134744587973</v>
      </c>
      <c r="P22" s="60">
        <f t="shared" si="2"/>
        <v>7295.0989683903463</v>
      </c>
      <c r="Q22" s="60">
        <v>7.5</v>
      </c>
      <c r="R22" s="60">
        <f t="shared" si="6"/>
        <v>28885.74525</v>
      </c>
      <c r="S22" s="60"/>
      <c r="T22" s="60">
        <f t="shared" si="7"/>
        <v>0.85556631618592627</v>
      </c>
      <c r="U22" s="60">
        <f t="shared" si="8"/>
        <v>1.0716397079775914</v>
      </c>
      <c r="V22" s="57">
        <f>IF(OR($R22=0,ISERROR(R22/I22)),"-",(VLOOKUP($N22,'APP 2885'!B10:G59,6)*$I22)/($R22+$P22))</f>
        <v>5.1026985269779752</v>
      </c>
      <c r="W22" s="57"/>
      <c r="X22" s="60">
        <f t="shared" si="9"/>
        <v>2.7281756195306488</v>
      </c>
      <c r="Y22" s="60">
        <f t="shared" si="10"/>
        <v>2.9442490113223139</v>
      </c>
      <c r="Z22" s="57">
        <f>IF($M22=0,"-",(VLOOKUP($N22,'APP 2885'!B10:G59,4)*$I22)/(M22+P22))</f>
        <v>1.6884782019622246</v>
      </c>
      <c r="AA22" s="6"/>
    </row>
    <row r="23" spans="1:27" s="47" customFormat="1" ht="14.5" x14ac:dyDescent="0.35">
      <c r="A23" s="49"/>
      <c r="B23" s="46" t="s">
        <v>69</v>
      </c>
      <c r="C23" s="50" t="s">
        <v>70</v>
      </c>
      <c r="D23" s="51" t="s">
        <v>71</v>
      </c>
      <c r="E23" s="57">
        <v>17</v>
      </c>
      <c r="F23" s="57">
        <v>0</v>
      </c>
      <c r="G23" s="57" t="s">
        <v>72</v>
      </c>
      <c r="H23" s="57">
        <v>76</v>
      </c>
      <c r="I23" s="64">
        <v>0</v>
      </c>
      <c r="J23" s="57"/>
      <c r="K23" s="60">
        <f t="shared" ref="K23:K29" si="27">H23*J23</f>
        <v>0</v>
      </c>
      <c r="L23" s="60">
        <f t="shared" si="0"/>
        <v>0</v>
      </c>
      <c r="M23" s="60">
        <f t="shared" ref="M23:M27" si="28">MAX(0,H23*(J23-L23))</f>
        <v>0</v>
      </c>
      <c r="N23" s="57"/>
      <c r="O23" s="61">
        <f t="shared" si="1"/>
        <v>0</v>
      </c>
      <c r="P23" s="60">
        <f t="shared" si="2"/>
        <v>0</v>
      </c>
      <c r="Q23" s="60">
        <v>100</v>
      </c>
      <c r="R23" s="60">
        <f t="shared" ref="R23:R25" si="29">H23*Q23</f>
        <v>7600</v>
      </c>
      <c r="S23" s="60"/>
      <c r="T23" s="60">
        <f t="shared" ref="T23:T27" si="30">IF(ISERROR(R23/O23),0,R23/O23)</f>
        <v>0</v>
      </c>
      <c r="U23" s="60">
        <f t="shared" ref="U23:U27" si="31">IF(O23=0,0,(R23+P23)/O23)</f>
        <v>0</v>
      </c>
      <c r="V23" s="57" t="str">
        <f>IF(OR($R23=0,ISERROR(R23/I23)),"-",(VLOOKUP($N23,'APP 2885'!B26:G75,6)*$I23)/($R23+$P23))</f>
        <v>-</v>
      </c>
      <c r="W23" s="57"/>
      <c r="X23" s="60">
        <f t="shared" ref="X23:X27" si="32">IF(ISERROR(M23/O23),0,M23/O23)</f>
        <v>0</v>
      </c>
      <c r="Y23" s="60">
        <f t="shared" ref="Y23:Y27" si="33">IF(O23=0,0,(M23+P23)/O23)</f>
        <v>0</v>
      </c>
      <c r="Z23" s="57" t="str">
        <f>IF($M23=0,"-",(VLOOKUP($N23,'APP 2885'!B26:G75,4)*$I23)/(M23+P23))</f>
        <v>-</v>
      </c>
      <c r="AA23" s="6"/>
    </row>
    <row r="24" spans="1:27" s="47" customFormat="1" ht="14.5" x14ac:dyDescent="0.35">
      <c r="A24" s="49"/>
      <c r="B24" s="46" t="s">
        <v>73</v>
      </c>
      <c r="C24" s="50" t="s">
        <v>74</v>
      </c>
      <c r="D24" s="51" t="s">
        <v>71</v>
      </c>
      <c r="E24" s="57">
        <v>6</v>
      </c>
      <c r="F24" s="57">
        <v>0</v>
      </c>
      <c r="G24" s="57" t="s">
        <v>72</v>
      </c>
      <c r="H24" s="57">
        <v>6</v>
      </c>
      <c r="I24" s="64">
        <v>0</v>
      </c>
      <c r="J24" s="57"/>
      <c r="K24" s="60">
        <f t="shared" si="27"/>
        <v>0</v>
      </c>
      <c r="L24" s="60">
        <f t="shared" si="0"/>
        <v>0</v>
      </c>
      <c r="M24" s="60">
        <f t="shared" si="28"/>
        <v>0</v>
      </c>
      <c r="N24" s="57"/>
      <c r="O24" s="61">
        <f t="shared" si="1"/>
        <v>0</v>
      </c>
      <c r="P24" s="60">
        <f t="shared" si="2"/>
        <v>0</v>
      </c>
      <c r="Q24" s="60">
        <v>500</v>
      </c>
      <c r="R24" s="60">
        <f t="shared" si="29"/>
        <v>3000</v>
      </c>
      <c r="S24" s="60"/>
      <c r="T24" s="60">
        <f t="shared" si="30"/>
        <v>0</v>
      </c>
      <c r="U24" s="60">
        <f t="shared" si="31"/>
        <v>0</v>
      </c>
      <c r="V24" s="57" t="str">
        <f>IF(OR($R24=0,ISERROR(R24/I24)),"-",(VLOOKUP($N24,'APP 2885'!B26:G75,6)*$I24)/($R24+$P24))</f>
        <v>-</v>
      </c>
      <c r="W24" s="57"/>
      <c r="X24" s="60">
        <f t="shared" si="32"/>
        <v>0</v>
      </c>
      <c r="Y24" s="60">
        <f t="shared" si="33"/>
        <v>0</v>
      </c>
      <c r="Z24" s="57" t="str">
        <f>IF($M24=0,"-",(VLOOKUP($N24,'APP 2885'!B26:G75,4)*$I24)/(M24+P24))</f>
        <v>-</v>
      </c>
      <c r="AA24" s="6"/>
    </row>
    <row r="25" spans="1:27" s="47" customFormat="1" ht="14.5" x14ac:dyDescent="0.35">
      <c r="A25" s="49"/>
      <c r="B25" s="46" t="s">
        <v>75</v>
      </c>
      <c r="C25" s="50" t="s">
        <v>76</v>
      </c>
      <c r="D25" s="51" t="s">
        <v>71</v>
      </c>
      <c r="E25" s="57">
        <v>2</v>
      </c>
      <c r="F25" s="57">
        <v>0</v>
      </c>
      <c r="G25" s="57" t="s">
        <v>72</v>
      </c>
      <c r="H25" s="57">
        <v>2</v>
      </c>
      <c r="I25" s="59">
        <v>0</v>
      </c>
      <c r="J25" s="57"/>
      <c r="K25" s="60">
        <f t="shared" si="27"/>
        <v>0</v>
      </c>
      <c r="L25" s="60">
        <f t="shared" si="0"/>
        <v>0</v>
      </c>
      <c r="M25" s="60">
        <f t="shared" si="28"/>
        <v>0</v>
      </c>
      <c r="N25" s="57"/>
      <c r="O25" s="61">
        <f t="shared" si="1"/>
        <v>0</v>
      </c>
      <c r="P25" s="60">
        <f t="shared" si="2"/>
        <v>0</v>
      </c>
      <c r="Q25" s="60">
        <v>300</v>
      </c>
      <c r="R25" s="60">
        <f t="shared" si="29"/>
        <v>600</v>
      </c>
      <c r="S25" s="60"/>
      <c r="T25" s="60">
        <f t="shared" si="30"/>
        <v>0</v>
      </c>
      <c r="U25" s="60">
        <f t="shared" si="31"/>
        <v>0</v>
      </c>
      <c r="V25" s="57" t="str">
        <f>IF(OR($R25=0,ISERROR(R25/I25)),"-",(VLOOKUP($N25,'APP 2885'!B26:G75,6)*$I25)/($R25+$P25))</f>
        <v>-</v>
      </c>
      <c r="W25" s="57"/>
      <c r="X25" s="60">
        <f t="shared" si="32"/>
        <v>0</v>
      </c>
      <c r="Y25" s="60">
        <f t="shared" si="33"/>
        <v>0</v>
      </c>
      <c r="Z25" s="57" t="str">
        <f>IF($M25=0,"-",(VLOOKUP($N25,'APP 2885'!B26:G75,4)*$I25)/(M25+P25))</f>
        <v>-</v>
      </c>
      <c r="AA25" s="6"/>
    </row>
    <row r="26" spans="1:27" ht="14.5" x14ac:dyDescent="0.35">
      <c r="A26" s="21"/>
      <c r="B26" s="45" t="s">
        <v>77</v>
      </c>
      <c r="C26" s="33"/>
      <c r="D26" s="22"/>
      <c r="E26" s="23"/>
      <c r="F26" s="23"/>
      <c r="G26" s="23"/>
      <c r="H26" s="23"/>
      <c r="I26" s="34"/>
      <c r="J26" s="23"/>
      <c r="K26" s="24"/>
      <c r="L26" s="72"/>
      <c r="M26" s="24"/>
      <c r="N26" s="23"/>
      <c r="O26" s="71"/>
      <c r="P26" s="24"/>
      <c r="Q26" s="24"/>
      <c r="R26" s="24"/>
      <c r="S26" s="24"/>
      <c r="T26" s="24"/>
      <c r="U26" s="24"/>
      <c r="V26" s="23"/>
      <c r="W26" s="23"/>
      <c r="X26" s="24"/>
      <c r="Y26" s="24"/>
      <c r="Z26" s="23"/>
      <c r="AA26" s="1"/>
    </row>
    <row r="27" spans="1:27" s="55" customFormat="1" ht="14.5" x14ac:dyDescent="0.25">
      <c r="A27" s="53" t="s">
        <v>78</v>
      </c>
      <c r="B27" s="53" t="s">
        <v>79</v>
      </c>
      <c r="C27" s="52"/>
      <c r="D27" s="48"/>
      <c r="E27" s="31"/>
      <c r="F27" s="65">
        <v>21415</v>
      </c>
      <c r="G27" s="31" t="s">
        <v>72</v>
      </c>
      <c r="H27" s="31">
        <v>1</v>
      </c>
      <c r="I27" s="65">
        <v>21415</v>
      </c>
      <c r="J27" s="31">
        <v>176000</v>
      </c>
      <c r="K27" s="32">
        <f t="shared" si="27"/>
        <v>176000</v>
      </c>
      <c r="L27" s="72">
        <f t="shared" ref="L27:L43" si="34">PV($C$48,$N27,(-0.05*0.9*$F27))</f>
        <v>6213.3577838555375</v>
      </c>
      <c r="M27" s="32">
        <f t="shared" si="28"/>
        <v>169786.64221614445</v>
      </c>
      <c r="N27" s="31">
        <v>8</v>
      </c>
      <c r="O27" s="71">
        <f t="shared" ref="O27:O43" si="35">PV($C$48,N27,-I27)</f>
        <v>138074.61741901195</v>
      </c>
      <c r="P27" s="32">
        <f t="shared" ref="P27:P43" si="36">$C$50*I27/SUM($I$27:$I$43)</f>
        <v>59179.773886161929</v>
      </c>
      <c r="Q27" s="32"/>
      <c r="R27" s="32">
        <v>9341</v>
      </c>
      <c r="S27" s="32"/>
      <c r="T27" s="32">
        <f t="shared" si="30"/>
        <v>6.7651826053249722E-2</v>
      </c>
      <c r="U27" s="32">
        <f t="shared" si="31"/>
        <v>0.49625901680555429</v>
      </c>
      <c r="V27" s="31">
        <f>IF($R27=0,"-",(VLOOKUP($N27,'APP 2885'!$B$10:$G$59,6)*$I27)/($R27+$P27))</f>
        <v>3.5801587691866752</v>
      </c>
      <c r="W27" s="31"/>
      <c r="X27" s="32">
        <f t="shared" si="32"/>
        <v>1.229673095532807</v>
      </c>
      <c r="Y27" s="32">
        <f t="shared" si="33"/>
        <v>1.6582802862851116</v>
      </c>
      <c r="Z27" s="31">
        <f>IF($M27=0,"-",(VLOOKUP($N27,'APP 2885'!$B$10:$G$59,4)*$I27)/(M27+P27))</f>
        <v>0.97363689310833568</v>
      </c>
      <c r="AA27" s="54"/>
    </row>
    <row r="28" spans="1:27" s="55" customFormat="1" ht="14.5" x14ac:dyDescent="0.25">
      <c r="A28" s="56" t="s">
        <v>80</v>
      </c>
      <c r="B28" s="53" t="s">
        <v>79</v>
      </c>
      <c r="C28" s="52"/>
      <c r="D28" s="48"/>
      <c r="E28" s="31"/>
      <c r="F28" s="66">
        <v>6015</v>
      </c>
      <c r="G28" s="31" t="s">
        <v>72</v>
      </c>
      <c r="H28" s="31">
        <v>1</v>
      </c>
      <c r="I28" s="66">
        <v>6015</v>
      </c>
      <c r="J28" s="31">
        <v>16800</v>
      </c>
      <c r="K28" s="32">
        <f t="shared" si="27"/>
        <v>16800</v>
      </c>
      <c r="L28" s="72">
        <f t="shared" si="34"/>
        <v>1745.194819980904</v>
      </c>
      <c r="M28" s="32">
        <f t="shared" ref="M28:M43" si="37">MAX(0,H28*(J28-L28))</f>
        <v>15054.805180019095</v>
      </c>
      <c r="N28" s="31">
        <v>8</v>
      </c>
      <c r="O28" s="71">
        <f t="shared" si="35"/>
        <v>38782.107110686753</v>
      </c>
      <c r="P28" s="32">
        <f t="shared" si="36"/>
        <v>16622.289980166424</v>
      </c>
      <c r="Q28" s="32"/>
      <c r="R28" s="32">
        <v>5534</v>
      </c>
      <c r="S28" s="32"/>
      <c r="T28" s="32">
        <f t="shared" ref="T28:T44" si="38">IF(ISERROR(R28/O28),0,R28/O28)</f>
        <v>0.14269467061718927</v>
      </c>
      <c r="U28" s="32">
        <f>IF(O28=0,0,(R28+P28)/O28)</f>
        <v>0.57130186136949379</v>
      </c>
      <c r="V28" s="31">
        <f>IF($R28=0,"-",(VLOOKUP($N28,'APP 2885'!$B$10:$G$59,6)*$I28)/($R28+$P28))</f>
        <v>3.1098902190610538</v>
      </c>
      <c r="W28" s="31"/>
      <c r="X28" s="32">
        <f t="shared" ref="X28:X43" si="39">IF(ISERROR(M28/O28),0,M28/O28)</f>
        <v>0.38818945904748459</v>
      </c>
      <c r="Y28" s="32">
        <f t="shared" ref="Y28:Y43" si="40">IF(O28=0,0,(M28+P28)/O28)</f>
        <v>0.81679664979978917</v>
      </c>
      <c r="Z28" s="31">
        <f>IF($M28=0,"-",(VLOOKUP($N28,'APP 2885'!$B$10:$G$59,4)*$I28)/(M28+P28))</f>
        <v>1.9767011363687581</v>
      </c>
      <c r="AA28" s="54"/>
    </row>
    <row r="29" spans="1:27" s="55" customFormat="1" ht="14.5" x14ac:dyDescent="0.25">
      <c r="A29" s="53" t="s">
        <v>81</v>
      </c>
      <c r="B29" s="53" t="s">
        <v>82</v>
      </c>
      <c r="C29" s="52"/>
      <c r="D29" s="48"/>
      <c r="E29" s="31"/>
      <c r="F29" s="65">
        <v>5410</v>
      </c>
      <c r="G29" s="31" t="s">
        <v>72</v>
      </c>
      <c r="H29" s="31">
        <v>1</v>
      </c>
      <c r="I29" s="65">
        <v>5410</v>
      </c>
      <c r="J29" s="31">
        <v>117662</v>
      </c>
      <c r="K29" s="32">
        <f t="shared" si="27"/>
        <v>117662</v>
      </c>
      <c r="L29" s="72">
        <f t="shared" si="34"/>
        <v>2516.7106519828867</v>
      </c>
      <c r="M29" s="32">
        <f t="shared" si="37"/>
        <v>115145.28934801712</v>
      </c>
      <c r="N29" s="31">
        <v>15</v>
      </c>
      <c r="O29" s="71">
        <f t="shared" si="35"/>
        <v>55926.903377397481</v>
      </c>
      <c r="P29" s="32">
        <f t="shared" si="36"/>
        <v>14950.388826716602</v>
      </c>
      <c r="Q29" s="32"/>
      <c r="R29" s="32">
        <v>12984</v>
      </c>
      <c r="S29" s="32"/>
      <c r="T29" s="32">
        <f t="shared" si="38"/>
        <v>0.23216018080570872</v>
      </c>
      <c r="U29" s="32">
        <f t="shared" ref="U29:U43" si="41">IF(O29=0,0,(R29+P29)/O29)</f>
        <v>0.49948034201382441</v>
      </c>
      <c r="V29" s="31">
        <f>IF($R29=0,"-",(VLOOKUP($N29,'APP 2885'!$B$10:$G$59,6)*$I29)/($R29+$P29))</f>
        <v>4.0058309739348159</v>
      </c>
      <c r="W29" s="31"/>
      <c r="X29" s="32">
        <f t="shared" si="39"/>
        <v>2.0588532958996688</v>
      </c>
      <c r="Y29" s="32">
        <f t="shared" si="40"/>
        <v>2.3261734571077843</v>
      </c>
      <c r="Z29" s="31">
        <f>IF($M29=0,"-",(VLOOKUP($N29,'APP 2885'!$B$10:$G$59,4)*$I29)/(M29+P29))</f>
        <v>0.78179384147868658</v>
      </c>
      <c r="AA29" s="54"/>
    </row>
    <row r="30" spans="1:27" s="55" customFormat="1" ht="14.5" x14ac:dyDescent="0.25">
      <c r="A30" s="56" t="s">
        <v>83</v>
      </c>
      <c r="B30" s="53" t="s">
        <v>82</v>
      </c>
      <c r="C30" s="52"/>
      <c r="D30" s="48"/>
      <c r="E30" s="31"/>
      <c r="F30" s="66">
        <v>4257</v>
      </c>
      <c r="G30" s="31" t="s">
        <v>72</v>
      </c>
      <c r="H30" s="31">
        <v>1</v>
      </c>
      <c r="I30" s="66">
        <v>4257</v>
      </c>
      <c r="J30" s="31">
        <v>78605</v>
      </c>
      <c r="K30" s="32">
        <f t="shared" ref="K30:K43" si="42">H30*J30</f>
        <v>78605</v>
      </c>
      <c r="L30" s="72">
        <f t="shared" si="34"/>
        <v>1980.3396017543714</v>
      </c>
      <c r="M30" s="32">
        <f t="shared" si="37"/>
        <v>76624.660398245629</v>
      </c>
      <c r="N30" s="31">
        <v>15</v>
      </c>
      <c r="O30" s="71">
        <f t="shared" si="35"/>
        <v>44007.54670565269</v>
      </c>
      <c r="P30" s="32">
        <f t="shared" si="36"/>
        <v>11764.104479728758</v>
      </c>
      <c r="Q30" s="32"/>
      <c r="R30" s="32">
        <v>10217</v>
      </c>
      <c r="S30" s="32"/>
      <c r="T30" s="32">
        <f t="shared" si="38"/>
        <v>0.23216472548076952</v>
      </c>
      <c r="U30" s="32">
        <f t="shared" si="41"/>
        <v>0.49948488668888519</v>
      </c>
      <c r="V30" s="31">
        <f>IF($R30=0,"-",(VLOOKUP($N30,'APP 2885'!$B$10:$G$59,6)*$I30)/($R30+$P30))</f>
        <v>4.0057945259849177</v>
      </c>
      <c r="W30" s="31"/>
      <c r="X30" s="32">
        <f t="shared" si="39"/>
        <v>1.7411709157693931</v>
      </c>
      <c r="Y30" s="32">
        <f t="shared" si="40"/>
        <v>2.0084910769775086</v>
      </c>
      <c r="Z30" s="31">
        <f>IF($M30=0,"-",(VLOOKUP($N30,'APP 2885'!$B$10:$G$59,4)*$I30)/(M30+P30))</f>
        <v>0.9054499190082369</v>
      </c>
      <c r="AA30" s="54"/>
    </row>
    <row r="31" spans="1:27" s="55" customFormat="1" ht="14.5" x14ac:dyDescent="0.25">
      <c r="A31" s="53" t="s">
        <v>84</v>
      </c>
      <c r="B31" s="53" t="s">
        <v>85</v>
      </c>
      <c r="C31" s="52"/>
      <c r="D31" s="48"/>
      <c r="E31" s="31"/>
      <c r="F31" s="65">
        <v>12702</v>
      </c>
      <c r="G31" s="31" t="s">
        <v>72</v>
      </c>
      <c r="H31" s="31">
        <v>1</v>
      </c>
      <c r="I31" s="65">
        <v>12702</v>
      </c>
      <c r="J31" s="31">
        <v>70000</v>
      </c>
      <c r="K31" s="32">
        <f t="shared" si="42"/>
        <v>70000</v>
      </c>
      <c r="L31" s="72">
        <f t="shared" si="34"/>
        <v>5049.0459523965201</v>
      </c>
      <c r="M31" s="32">
        <f t="shared" si="37"/>
        <v>64950.954047603482</v>
      </c>
      <c r="N31" s="31">
        <v>12</v>
      </c>
      <c r="O31" s="71">
        <f t="shared" si="35"/>
        <v>112201.02116436711</v>
      </c>
      <c r="P31" s="32">
        <f t="shared" si="36"/>
        <v>35101.633803503566</v>
      </c>
      <c r="Q31" s="32"/>
      <c r="R31" s="32">
        <v>16259</v>
      </c>
      <c r="S31" s="32"/>
      <c r="T31" s="32">
        <f t="shared" si="38"/>
        <v>0.14490955457688426</v>
      </c>
      <c r="U31" s="32">
        <f t="shared" si="41"/>
        <v>0.45775549340378657</v>
      </c>
      <c r="V31" s="31">
        <f>IF($R31=0,"-",(VLOOKUP($N31,'APP 2885'!$B$10:$G$59,6)*$I31)/($R31+$P31))</f>
        <v>4.0582834354700186</v>
      </c>
      <c r="W31" s="31"/>
      <c r="X31" s="32">
        <f t="shared" si="39"/>
        <v>0.57888023989063886</v>
      </c>
      <c r="Y31" s="32">
        <f t="shared" si="40"/>
        <v>0.89172617871754123</v>
      </c>
      <c r="Z31" s="31">
        <f>IF($M31=0,"-",(VLOOKUP($N31,'APP 2885'!$B$10:$G$59,4)*$I31)/(M31+P31))</f>
        <v>1.894142311261598</v>
      </c>
      <c r="AA31" s="54"/>
    </row>
    <row r="32" spans="1:27" s="55" customFormat="1" ht="14.5" x14ac:dyDescent="0.25">
      <c r="A32" s="53" t="s">
        <v>86</v>
      </c>
      <c r="B32" s="53" t="s">
        <v>85</v>
      </c>
      <c r="C32" s="52"/>
      <c r="D32" s="48"/>
      <c r="E32" s="31"/>
      <c r="F32" s="65">
        <v>12702</v>
      </c>
      <c r="G32" s="31" t="s">
        <v>72</v>
      </c>
      <c r="H32" s="31">
        <v>1</v>
      </c>
      <c r="I32" s="65">
        <v>12702</v>
      </c>
      <c r="J32" s="31">
        <v>70000</v>
      </c>
      <c r="K32" s="32">
        <f t="shared" si="42"/>
        <v>70000</v>
      </c>
      <c r="L32" s="72">
        <f t="shared" si="34"/>
        <v>5049.0459523965201</v>
      </c>
      <c r="M32" s="32">
        <f t="shared" si="37"/>
        <v>64950.954047603482</v>
      </c>
      <c r="N32" s="31">
        <v>12</v>
      </c>
      <c r="O32" s="71">
        <f t="shared" si="35"/>
        <v>112201.02116436711</v>
      </c>
      <c r="P32" s="32">
        <f t="shared" si="36"/>
        <v>35101.633803503566</v>
      </c>
      <c r="Q32" s="32"/>
      <c r="R32" s="32">
        <v>16259</v>
      </c>
      <c r="S32" s="32"/>
      <c r="T32" s="32">
        <f t="shared" si="38"/>
        <v>0.14490955457688426</v>
      </c>
      <c r="U32" s="32">
        <f t="shared" si="41"/>
        <v>0.45775549340378657</v>
      </c>
      <c r="V32" s="31">
        <f>IF($R32=0,"-",(VLOOKUP($N32,'APP 2885'!$B$10:$G$59,6)*$I32)/($R32+$P32))</f>
        <v>4.0582834354700186</v>
      </c>
      <c r="W32" s="31"/>
      <c r="X32" s="32">
        <f t="shared" si="39"/>
        <v>0.57888023989063886</v>
      </c>
      <c r="Y32" s="32">
        <f t="shared" si="40"/>
        <v>0.89172617871754123</v>
      </c>
      <c r="Z32" s="31">
        <f>IF($M32=0,"-",(VLOOKUP($N32,'APP 2885'!$B$10:$G$59,4)*$I32)/(M32+P32))</f>
        <v>1.894142311261598</v>
      </c>
      <c r="AA32" s="54"/>
    </row>
    <row r="33" spans="1:27" s="55" customFormat="1" ht="14.5" x14ac:dyDescent="0.25">
      <c r="A33" s="53" t="s">
        <v>87</v>
      </c>
      <c r="B33" s="53" t="s">
        <v>85</v>
      </c>
      <c r="C33" s="52"/>
      <c r="D33" s="48"/>
      <c r="E33" s="31"/>
      <c r="F33" s="65">
        <v>12702</v>
      </c>
      <c r="G33" s="31" t="s">
        <v>72</v>
      </c>
      <c r="H33" s="31">
        <v>1</v>
      </c>
      <c r="I33" s="65">
        <v>12702</v>
      </c>
      <c r="J33" s="31">
        <v>70000</v>
      </c>
      <c r="K33" s="32">
        <f t="shared" si="42"/>
        <v>70000</v>
      </c>
      <c r="L33" s="72">
        <f t="shared" si="34"/>
        <v>5049.0459523965201</v>
      </c>
      <c r="M33" s="32">
        <f t="shared" si="37"/>
        <v>64950.954047603482</v>
      </c>
      <c r="N33" s="31">
        <v>12</v>
      </c>
      <c r="O33" s="71">
        <f t="shared" si="35"/>
        <v>112201.02116436711</v>
      </c>
      <c r="P33" s="32">
        <f t="shared" si="36"/>
        <v>35101.633803503566</v>
      </c>
      <c r="Q33" s="32"/>
      <c r="R33" s="32">
        <v>16259</v>
      </c>
      <c r="S33" s="32"/>
      <c r="T33" s="32">
        <f t="shared" si="38"/>
        <v>0.14490955457688426</v>
      </c>
      <c r="U33" s="32">
        <f t="shared" si="41"/>
        <v>0.45775549340378657</v>
      </c>
      <c r="V33" s="31">
        <f>IF($R33=0,"-",(VLOOKUP($N33,'APP 2885'!$B$10:$G$59,6)*$I33)/($R33+$P33))</f>
        <v>4.0582834354700186</v>
      </c>
      <c r="W33" s="31"/>
      <c r="X33" s="32">
        <f t="shared" si="39"/>
        <v>0.57888023989063886</v>
      </c>
      <c r="Y33" s="32">
        <f t="shared" si="40"/>
        <v>0.89172617871754123</v>
      </c>
      <c r="Z33" s="31">
        <f>IF($M33=0,"-",(VLOOKUP($N33,'APP 2885'!$B$10:$G$59,4)*$I33)/(M33+P33))</f>
        <v>1.894142311261598</v>
      </c>
      <c r="AA33" s="54"/>
    </row>
    <row r="34" spans="1:27" s="55" customFormat="1" ht="14.5" x14ac:dyDescent="0.25">
      <c r="A34" s="53" t="s">
        <v>88</v>
      </c>
      <c r="B34" s="53" t="s">
        <v>85</v>
      </c>
      <c r="C34" s="52"/>
      <c r="D34" s="48"/>
      <c r="E34" s="31"/>
      <c r="F34" s="65">
        <v>3447</v>
      </c>
      <c r="G34" s="31" t="s">
        <v>72</v>
      </c>
      <c r="H34" s="31">
        <v>1</v>
      </c>
      <c r="I34" s="65">
        <v>3447</v>
      </c>
      <c r="J34" s="31">
        <v>30200</v>
      </c>
      <c r="K34" s="32">
        <f t="shared" si="42"/>
        <v>30200</v>
      </c>
      <c r="L34" s="72">
        <f t="shared" si="34"/>
        <v>1603.5307980378946</v>
      </c>
      <c r="M34" s="32">
        <f t="shared" si="37"/>
        <v>28596.469201962107</v>
      </c>
      <c r="N34" s="31">
        <v>15</v>
      </c>
      <c r="O34" s="71">
        <f t="shared" si="35"/>
        <v>35634.017734175439</v>
      </c>
      <c r="P34" s="32">
        <f t="shared" si="36"/>
        <v>9525.6913651926297</v>
      </c>
      <c r="Q34" s="32"/>
      <c r="R34" s="32">
        <v>11720</v>
      </c>
      <c r="S34" s="32"/>
      <c r="T34" s="32">
        <f t="shared" si="38"/>
        <v>0.3288992020891241</v>
      </c>
      <c r="U34" s="32">
        <f t="shared" si="41"/>
        <v>0.59621936329723979</v>
      </c>
      <c r="V34" s="31">
        <f>IF($R34=0,"-",(VLOOKUP($N34,'APP 2885'!$B$10:$G$59,6)*$I34)/($R34+$P34))</f>
        <v>3.3558685746894059</v>
      </c>
      <c r="W34" s="31"/>
      <c r="X34" s="32">
        <f t="shared" si="39"/>
        <v>0.80250476988835739</v>
      </c>
      <c r="Y34" s="32">
        <f t="shared" si="40"/>
        <v>1.0698249310964729</v>
      </c>
      <c r="Z34" s="31">
        <f>IF($M34=0,"-",(VLOOKUP($N34,'APP 2885'!$B$10:$G$59,4)*$I34)/(M34+P34))</f>
        <v>1.6998931601960001</v>
      </c>
      <c r="AA34" s="54"/>
    </row>
    <row r="35" spans="1:27" s="55" customFormat="1" ht="14.5" x14ac:dyDescent="0.35">
      <c r="A35" s="53" t="s">
        <v>89</v>
      </c>
      <c r="B35" s="53" t="s">
        <v>85</v>
      </c>
      <c r="C35" s="52"/>
      <c r="D35" s="48"/>
      <c r="E35" s="31"/>
      <c r="F35" s="67">
        <v>11505</v>
      </c>
      <c r="G35" s="31" t="s">
        <v>72</v>
      </c>
      <c r="H35" s="31">
        <v>1</v>
      </c>
      <c r="I35" s="67">
        <v>11505</v>
      </c>
      <c r="J35" s="31">
        <v>70000</v>
      </c>
      <c r="K35" s="32">
        <f t="shared" si="42"/>
        <v>70000</v>
      </c>
      <c r="L35" s="72">
        <f t="shared" si="34"/>
        <v>4573.2383626454066</v>
      </c>
      <c r="M35" s="32">
        <f t="shared" si="37"/>
        <v>65426.76163735459</v>
      </c>
      <c r="N35" s="31">
        <v>12</v>
      </c>
      <c r="O35" s="71">
        <f t="shared" si="35"/>
        <v>101627.51916989793</v>
      </c>
      <c r="P35" s="32">
        <f t="shared" si="36"/>
        <v>31793.75664535573</v>
      </c>
      <c r="Q35" s="32"/>
      <c r="R35" s="32">
        <v>14726</v>
      </c>
      <c r="S35" s="32"/>
      <c r="T35" s="32">
        <f t="shared" si="38"/>
        <v>0.144901697102155</v>
      </c>
      <c r="U35" s="32">
        <f t="shared" si="41"/>
        <v>0.45774763592905732</v>
      </c>
      <c r="V35" s="31">
        <f>IF($R35=0,"-",(VLOOKUP($N35,'APP 2885'!$B$10:$G$59,6)*$I35)/($R35+$P35))</f>
        <v>4.0583530980024616</v>
      </c>
      <c r="W35" s="31"/>
      <c r="X35" s="32">
        <f t="shared" si="39"/>
        <v>0.64378981374105992</v>
      </c>
      <c r="Y35" s="32">
        <f t="shared" si="40"/>
        <v>0.95663575256796218</v>
      </c>
      <c r="Z35" s="31">
        <f>IF($M35=0,"-",(VLOOKUP($N35,'APP 2885'!$B$10:$G$59,4)*$I35)/(M35+P35))</f>
        <v>1.7656211161191375</v>
      </c>
      <c r="AA35" s="54"/>
    </row>
    <row r="36" spans="1:27" s="55" customFormat="1" ht="14.5" x14ac:dyDescent="0.35">
      <c r="A36" s="53" t="s">
        <v>90</v>
      </c>
      <c r="B36" s="53" t="s">
        <v>85</v>
      </c>
      <c r="C36" s="52"/>
      <c r="D36" s="48"/>
      <c r="E36" s="31"/>
      <c r="F36" s="67">
        <v>11307</v>
      </c>
      <c r="G36" s="31" t="s">
        <v>72</v>
      </c>
      <c r="H36" s="31">
        <v>1</v>
      </c>
      <c r="I36" s="67">
        <v>11307</v>
      </c>
      <c r="J36" s="31">
        <v>70000</v>
      </c>
      <c r="K36" s="32">
        <f t="shared" si="42"/>
        <v>70000</v>
      </c>
      <c r="L36" s="72">
        <f t="shared" si="34"/>
        <v>4494.5333477993581</v>
      </c>
      <c r="M36" s="32">
        <f t="shared" si="37"/>
        <v>65505.466652200645</v>
      </c>
      <c r="N36" s="31">
        <v>12</v>
      </c>
      <c r="O36" s="71">
        <f t="shared" si="35"/>
        <v>99878.518839985743</v>
      </c>
      <c r="P36" s="32">
        <f t="shared" si="36"/>
        <v>31246.588995135789</v>
      </c>
      <c r="Q36" s="32"/>
      <c r="R36" s="32">
        <v>14473</v>
      </c>
      <c r="S36" s="32"/>
      <c r="T36" s="32">
        <f t="shared" si="38"/>
        <v>0.14490603353046347</v>
      </c>
      <c r="U36" s="32">
        <f t="shared" si="41"/>
        <v>0.45775197235736576</v>
      </c>
      <c r="V36" s="31">
        <f>IF($R36=0,"-",(VLOOKUP($N36,'APP 2885'!$B$10:$G$59,6)*$I36)/($R36+$P36))</f>
        <v>4.0583146519479971</v>
      </c>
      <c r="W36" s="31"/>
      <c r="X36" s="32">
        <f t="shared" si="39"/>
        <v>0.65585140241362827</v>
      </c>
      <c r="Y36" s="32">
        <f t="shared" si="40"/>
        <v>0.96869734124053064</v>
      </c>
      <c r="Z36" s="31">
        <f>IF($M36=0,"-",(VLOOKUP($N36,'APP 2885'!$B$10:$G$59,4)*$I36)/(M36+P36))</f>
        <v>1.7436367513979976</v>
      </c>
      <c r="AA36" s="54"/>
    </row>
    <row r="37" spans="1:27" s="55" customFormat="1" ht="14.5" x14ac:dyDescent="0.35">
      <c r="A37" s="53" t="s">
        <v>91</v>
      </c>
      <c r="B37" s="53" t="s">
        <v>85</v>
      </c>
      <c r="C37" s="52"/>
      <c r="D37" s="48"/>
      <c r="E37" s="31"/>
      <c r="F37" s="67">
        <v>13405</v>
      </c>
      <c r="G37" s="31" t="s">
        <v>72</v>
      </c>
      <c r="H37" s="31">
        <v>1</v>
      </c>
      <c r="I37" s="67">
        <v>13405</v>
      </c>
      <c r="J37" s="31">
        <v>70000</v>
      </c>
      <c r="K37" s="32">
        <f t="shared" si="42"/>
        <v>70000</v>
      </c>
      <c r="L37" s="72">
        <f t="shared" si="34"/>
        <v>5328.4885051074907</v>
      </c>
      <c r="M37" s="32">
        <f t="shared" si="37"/>
        <v>64671.511494892511</v>
      </c>
      <c r="N37" s="31">
        <v>12</v>
      </c>
      <c r="O37" s="71">
        <f t="shared" si="35"/>
        <v>118410.85566905534</v>
      </c>
      <c r="P37" s="32">
        <f t="shared" si="36"/>
        <v>37044.35530908245</v>
      </c>
      <c r="Q37" s="32"/>
      <c r="R37" s="32">
        <v>17158</v>
      </c>
      <c r="S37" s="32"/>
      <c r="T37" s="32">
        <f t="shared" si="38"/>
        <v>0.14490225497529235</v>
      </c>
      <c r="U37" s="32">
        <f t="shared" si="41"/>
        <v>0.45774819380219472</v>
      </c>
      <c r="V37" s="31">
        <f>IF($R37=0,"-",(VLOOKUP($N37,'APP 2885'!$B$10:$G$59,6)*$I37)/($R37+$P37))</f>
        <v>4.0583481519508853</v>
      </c>
      <c r="W37" s="31"/>
      <c r="X37" s="32">
        <f t="shared" si="39"/>
        <v>0.54616201470278969</v>
      </c>
      <c r="Y37" s="32">
        <f t="shared" si="40"/>
        <v>0.85900795352969206</v>
      </c>
      <c r="Z37" s="31">
        <f>IF($M37=0,"-",(VLOOKUP($N37,'APP 2885'!$B$10:$G$59,4)*$I37)/(M37+P37))</f>
        <v>1.9662871318340285</v>
      </c>
      <c r="AA37" s="54"/>
    </row>
    <row r="38" spans="1:27" s="55" customFormat="1" ht="14.5" x14ac:dyDescent="0.35">
      <c r="A38" s="53" t="s">
        <v>92</v>
      </c>
      <c r="B38" s="53" t="s">
        <v>85</v>
      </c>
      <c r="C38" s="52"/>
      <c r="D38" s="48"/>
      <c r="E38" s="31"/>
      <c r="F38" s="67">
        <v>13405</v>
      </c>
      <c r="G38" s="31" t="s">
        <v>72</v>
      </c>
      <c r="H38" s="31">
        <v>1</v>
      </c>
      <c r="I38" s="67">
        <v>13405</v>
      </c>
      <c r="J38" s="31">
        <v>70000</v>
      </c>
      <c r="K38" s="32">
        <f t="shared" si="42"/>
        <v>70000</v>
      </c>
      <c r="L38" s="72">
        <f t="shared" si="34"/>
        <v>5328.4885051074907</v>
      </c>
      <c r="M38" s="32">
        <f t="shared" si="37"/>
        <v>64671.511494892511</v>
      </c>
      <c r="N38" s="31">
        <v>12</v>
      </c>
      <c r="O38" s="71">
        <f t="shared" si="35"/>
        <v>118410.85566905534</v>
      </c>
      <c r="P38" s="32">
        <f t="shared" si="36"/>
        <v>37044.35530908245</v>
      </c>
      <c r="Q38" s="32"/>
      <c r="R38" s="32">
        <v>17158</v>
      </c>
      <c r="S38" s="32"/>
      <c r="T38" s="32">
        <f t="shared" si="38"/>
        <v>0.14490225497529235</v>
      </c>
      <c r="U38" s="32">
        <f t="shared" si="41"/>
        <v>0.45774819380219472</v>
      </c>
      <c r="V38" s="31">
        <f>IF($R38=0,"-",(VLOOKUP($N38,'APP 2885'!$B$10:$G$59,6)*$I38)/($R38+$P38))</f>
        <v>4.0583481519508853</v>
      </c>
      <c r="W38" s="31"/>
      <c r="X38" s="32">
        <f t="shared" si="39"/>
        <v>0.54616201470278969</v>
      </c>
      <c r="Y38" s="32">
        <f t="shared" si="40"/>
        <v>0.85900795352969206</v>
      </c>
      <c r="Z38" s="31">
        <f>IF($M38=0,"-",(VLOOKUP($N38,'APP 2885'!$B$10:$G$59,4)*$I38)/(M38+P38))</f>
        <v>1.9662871318340285</v>
      </c>
      <c r="AA38" s="54"/>
    </row>
    <row r="39" spans="1:27" s="55" customFormat="1" ht="14.5" x14ac:dyDescent="0.35">
      <c r="A39" s="53" t="s">
        <v>93</v>
      </c>
      <c r="B39" s="53" t="s">
        <v>85</v>
      </c>
      <c r="C39" s="52"/>
      <c r="D39" s="48"/>
      <c r="E39" s="31"/>
      <c r="F39" s="67">
        <v>11307</v>
      </c>
      <c r="G39" s="31" t="s">
        <v>72</v>
      </c>
      <c r="H39" s="31">
        <v>1</v>
      </c>
      <c r="I39" s="67">
        <v>11307</v>
      </c>
      <c r="J39" s="31">
        <v>70000</v>
      </c>
      <c r="K39" s="32">
        <f t="shared" si="42"/>
        <v>70000</v>
      </c>
      <c r="L39" s="72">
        <f t="shared" si="34"/>
        <v>4494.5333477993581</v>
      </c>
      <c r="M39" s="32">
        <f t="shared" si="37"/>
        <v>65505.466652200645</v>
      </c>
      <c r="N39" s="31">
        <v>12</v>
      </c>
      <c r="O39" s="71">
        <f t="shared" si="35"/>
        <v>99878.518839985743</v>
      </c>
      <c r="P39" s="32">
        <f t="shared" si="36"/>
        <v>31246.588995135789</v>
      </c>
      <c r="Q39" s="32"/>
      <c r="R39" s="32">
        <v>14473</v>
      </c>
      <c r="S39" s="32"/>
      <c r="T39" s="32">
        <f t="shared" si="38"/>
        <v>0.14490603353046347</v>
      </c>
      <c r="U39" s="32">
        <f t="shared" si="41"/>
        <v>0.45775197235736576</v>
      </c>
      <c r="V39" s="31">
        <f>IF($R39=0,"-",(VLOOKUP($N39,'APP 2885'!$B$10:$G$59,6)*$I39)/($R39+$P39))</f>
        <v>4.0583146519479971</v>
      </c>
      <c r="W39" s="31"/>
      <c r="X39" s="32">
        <f t="shared" si="39"/>
        <v>0.65585140241362827</v>
      </c>
      <c r="Y39" s="32">
        <f t="shared" si="40"/>
        <v>0.96869734124053064</v>
      </c>
      <c r="Z39" s="31">
        <f>IF($M39=0,"-",(VLOOKUP($N39,'APP 2885'!$B$10:$G$59,4)*$I39)/(M39+P39))</f>
        <v>1.7436367513979976</v>
      </c>
      <c r="AA39" s="54"/>
    </row>
    <row r="40" spans="1:27" s="55" customFormat="1" ht="14.5" x14ac:dyDescent="0.35">
      <c r="A40" s="53" t="s">
        <v>94</v>
      </c>
      <c r="B40" s="53" t="s">
        <v>85</v>
      </c>
      <c r="C40" s="52"/>
      <c r="D40" s="48"/>
      <c r="E40" s="31"/>
      <c r="F40" s="67">
        <v>11682</v>
      </c>
      <c r="G40" s="31" t="s">
        <v>72</v>
      </c>
      <c r="H40" s="31">
        <v>1</v>
      </c>
      <c r="I40" s="67">
        <v>11682</v>
      </c>
      <c r="J40" s="31">
        <v>70000</v>
      </c>
      <c r="K40" s="32">
        <f t="shared" si="42"/>
        <v>70000</v>
      </c>
      <c r="L40" s="72">
        <f t="shared" si="34"/>
        <v>4643.5958759168752</v>
      </c>
      <c r="M40" s="32">
        <f t="shared" si="37"/>
        <v>65356.404124083128</v>
      </c>
      <c r="N40" s="31">
        <v>12</v>
      </c>
      <c r="O40" s="71">
        <f t="shared" si="35"/>
        <v>103191.01946481943</v>
      </c>
      <c r="P40" s="32">
        <f t="shared" si="36"/>
        <v>32282.891362976588</v>
      </c>
      <c r="Q40" s="32"/>
      <c r="R40" s="32">
        <v>14953</v>
      </c>
      <c r="S40" s="32"/>
      <c r="T40" s="32">
        <f t="shared" si="38"/>
        <v>0.14490602067457892</v>
      </c>
      <c r="U40" s="32">
        <f t="shared" si="41"/>
        <v>0.45775195950148129</v>
      </c>
      <c r="V40" s="31">
        <f>IF($R40=0,"-",(VLOOKUP($N40,'APP 2885'!$B$10:$G$59,6)*$I40)/($R40+$P40))</f>
        <v>4.0583147659250622</v>
      </c>
      <c r="W40" s="31"/>
      <c r="X40" s="32">
        <f t="shared" si="39"/>
        <v>0.6333536044419531</v>
      </c>
      <c r="Y40" s="32">
        <f t="shared" si="40"/>
        <v>0.94619954326885547</v>
      </c>
      <c r="Z40" s="31">
        <f>IF($M40=0,"-",(VLOOKUP($N40,'APP 2885'!$B$10:$G$59,4)*$I40)/(M40+P40))</f>
        <v>1.785095223501481</v>
      </c>
      <c r="AA40" s="54"/>
    </row>
    <row r="41" spans="1:27" s="55" customFormat="1" ht="14.5" x14ac:dyDescent="0.25">
      <c r="A41" s="53" t="s">
        <v>95</v>
      </c>
      <c r="B41" s="53" t="s">
        <v>96</v>
      </c>
      <c r="C41" s="52"/>
      <c r="D41" s="48"/>
      <c r="E41" s="31"/>
      <c r="F41" s="65">
        <v>15552</v>
      </c>
      <c r="G41" s="31" t="s">
        <v>72</v>
      </c>
      <c r="H41" s="31">
        <v>1</v>
      </c>
      <c r="I41" s="65">
        <v>15552</v>
      </c>
      <c r="J41" s="31">
        <v>160382</v>
      </c>
      <c r="K41" s="32">
        <f t="shared" si="42"/>
        <v>160382</v>
      </c>
      <c r="L41" s="72">
        <f t="shared" si="34"/>
        <v>6181.9211660896453</v>
      </c>
      <c r="M41" s="32">
        <f t="shared" si="37"/>
        <v>154200.07883391035</v>
      </c>
      <c r="N41" s="31">
        <v>12</v>
      </c>
      <c r="O41" s="71">
        <f t="shared" si="35"/>
        <v>137376.02591310322</v>
      </c>
      <c r="P41" s="32">
        <f t="shared" si="36"/>
        <v>42977.531799093638</v>
      </c>
      <c r="Q41" s="32"/>
      <c r="R41" s="32">
        <v>19907</v>
      </c>
      <c r="S41" s="32"/>
      <c r="T41" s="32">
        <f t="shared" si="38"/>
        <v>0.14490883593176665</v>
      </c>
      <c r="U41" s="32">
        <f t="shared" si="41"/>
        <v>0.45775477475866899</v>
      </c>
      <c r="V41" s="31">
        <f>IF($R41=0,"-",(VLOOKUP($N41,'APP 2885'!$B$10:$G$59,6)*$I41)/($R41+$P41))</f>
        <v>4.0582898067101185</v>
      </c>
      <c r="W41" s="31"/>
      <c r="X41" s="32">
        <f t="shared" si="39"/>
        <v>1.1224671685542069</v>
      </c>
      <c r="Y41" s="32">
        <f t="shared" si="40"/>
        <v>1.4353131073811094</v>
      </c>
      <c r="Z41" s="31">
        <f>IF($M41=0,"-",(VLOOKUP($N41,'APP 2885'!$B$10:$G$59,4)*$I41)/(M41+P41))</f>
        <v>1.1767859406303272</v>
      </c>
      <c r="AA41" s="54"/>
    </row>
    <row r="42" spans="1:27" s="55" customFormat="1" ht="14.5" x14ac:dyDescent="0.25">
      <c r="A42" s="53" t="s">
        <v>97</v>
      </c>
      <c r="B42" s="53" t="s">
        <v>96</v>
      </c>
      <c r="C42" s="52"/>
      <c r="D42" s="48"/>
      <c r="E42" s="31"/>
      <c r="F42" s="65">
        <v>8134</v>
      </c>
      <c r="G42" s="31" t="s">
        <v>72</v>
      </c>
      <c r="H42" s="31">
        <v>1</v>
      </c>
      <c r="I42" s="65">
        <v>8134</v>
      </c>
      <c r="J42" s="31">
        <v>137327</v>
      </c>
      <c r="K42" s="32">
        <f t="shared" si="42"/>
        <v>137327</v>
      </c>
      <c r="L42" s="72">
        <f t="shared" si="34"/>
        <v>3233.2656098876782</v>
      </c>
      <c r="M42" s="32">
        <f t="shared" si="37"/>
        <v>134093.73439011231</v>
      </c>
      <c r="N42" s="31">
        <v>12</v>
      </c>
      <c r="O42" s="71">
        <f t="shared" si="35"/>
        <v>71850.346886392843</v>
      </c>
      <c r="P42" s="32">
        <f t="shared" si="36"/>
        <v>22478.089226712171</v>
      </c>
      <c r="Q42" s="32"/>
      <c r="R42" s="32">
        <v>17439</v>
      </c>
      <c r="S42" s="32"/>
      <c r="T42" s="32">
        <f t="shared" si="38"/>
        <v>0.24271281567469552</v>
      </c>
      <c r="U42" s="32">
        <f t="shared" si="41"/>
        <v>0.55555875450159786</v>
      </c>
      <c r="V42" s="31">
        <f>IF($R42=0,"-",(VLOOKUP($N42,'APP 2885'!$B$10:$G$59,6)*$I42)/($R42+$P42))</f>
        <v>3.3438435112818476</v>
      </c>
      <c r="W42" s="31"/>
      <c r="X42" s="32">
        <f t="shared" si="39"/>
        <v>1.8662920946246293</v>
      </c>
      <c r="Y42" s="32">
        <f t="shared" si="40"/>
        <v>2.1791380334515318</v>
      </c>
      <c r="Z42" s="31">
        <f>IF($M42=0,"-",(VLOOKUP($N42,'APP 2885'!$B$10:$G$59,4)*$I42)/(M42+P42))</f>
        <v>0.7751029348486127</v>
      </c>
      <c r="AA42" s="54"/>
    </row>
    <row r="43" spans="1:27" s="55" customFormat="1" ht="14.5" x14ac:dyDescent="0.25">
      <c r="A43" s="53" t="s">
        <v>98</v>
      </c>
      <c r="B43" s="53" t="s">
        <v>96</v>
      </c>
      <c r="C43" s="52"/>
      <c r="D43" s="48"/>
      <c r="E43" s="31"/>
      <c r="F43" s="65">
        <v>5555</v>
      </c>
      <c r="G43" s="31" t="s">
        <v>72</v>
      </c>
      <c r="H43" s="31">
        <v>1</v>
      </c>
      <c r="I43" s="65">
        <v>5555</v>
      </c>
      <c r="J43" s="31">
        <v>42240</v>
      </c>
      <c r="K43" s="32">
        <f t="shared" si="42"/>
        <v>42240</v>
      </c>
      <c r="L43" s="72">
        <f t="shared" si="34"/>
        <v>2208.1129165141447</v>
      </c>
      <c r="M43" s="32">
        <f t="shared" si="37"/>
        <v>40031.887083485854</v>
      </c>
      <c r="N43" s="31">
        <v>12</v>
      </c>
      <c r="O43" s="71">
        <f t="shared" si="35"/>
        <v>49069.175922536553</v>
      </c>
      <c r="P43" s="32">
        <f t="shared" si="36"/>
        <v>15351.092408948378</v>
      </c>
      <c r="Q43" s="32"/>
      <c r="R43" s="32">
        <v>11910</v>
      </c>
      <c r="S43" s="32"/>
      <c r="T43" s="32">
        <f t="shared" si="38"/>
        <v>0.24271856570001943</v>
      </c>
      <c r="U43" s="32">
        <f t="shared" si="41"/>
        <v>0.55556450452692174</v>
      </c>
      <c r="V43" s="31">
        <f>IF($R43=0,"-",(VLOOKUP($N43,'APP 2885'!$B$10:$G$59,6)*$I43)/($R43+$P43))</f>
        <v>3.3438089029065594</v>
      </c>
      <c r="W43" s="31"/>
      <c r="X43" s="32">
        <f t="shared" si="39"/>
        <v>0.81582554283533337</v>
      </c>
      <c r="Y43" s="32">
        <f t="shared" si="40"/>
        <v>1.1286714816622356</v>
      </c>
      <c r="Z43" s="31">
        <f>IF($M43=0,"-",(VLOOKUP($N43,'APP 2885'!$B$10:$G$59,4)*$I43)/(M43+P43))</f>
        <v>1.4964994797963547</v>
      </c>
      <c r="AA43" s="54"/>
    </row>
    <row r="44" spans="1:27" ht="14.5" x14ac:dyDescent="0.35">
      <c r="A44" s="37" t="s">
        <v>99</v>
      </c>
      <c r="B44" s="38"/>
      <c r="C44" s="38"/>
      <c r="D44" s="38"/>
      <c r="E44" s="39">
        <f>SUM(E6:E43)</f>
        <v>107</v>
      </c>
      <c r="F44" s="38"/>
      <c r="G44" s="38"/>
      <c r="H44" s="37"/>
      <c r="I44" s="40">
        <f>SUM(I6:I43)</f>
        <v>377038.25699999998</v>
      </c>
      <c r="J44" s="38"/>
      <c r="K44" s="41">
        <f>SUM(K6:K43)</f>
        <v>2273830.8489370001</v>
      </c>
      <c r="L44" s="42"/>
      <c r="M44" s="41">
        <f>SUM(M6:M43)</f>
        <v>2079067.1596369969</v>
      </c>
      <c r="N44" s="37">
        <f>SUMPRODUCT(I6:I43,N6:N43)/SUM(I6:I43)</f>
        <v>19.195548875031005</v>
      </c>
      <c r="O44" s="43">
        <f>SUM(O6:O43)</f>
        <v>4328081.9844445055</v>
      </c>
      <c r="P44" s="43">
        <f>SUM(P6:P43)</f>
        <v>1247031.0000000002</v>
      </c>
      <c r="Q44" s="38"/>
      <c r="R44" s="74">
        <f>SUM(R6:R43)-3237.23</f>
        <v>1274732.0032500001</v>
      </c>
      <c r="S44" s="38"/>
      <c r="T44" s="73">
        <f t="shared" si="38"/>
        <v>0.29452584489653738</v>
      </c>
      <c r="U44" s="41">
        <f>(R44+P44)/O44</f>
        <v>0.58265139438518743</v>
      </c>
      <c r="V44" s="38">
        <f>IF($R44=0,"-",(VLOOKUP($N44,'APP 2885'!$B$10:$G$59,6)*$I44)/($R44+$P44))</f>
        <v>5.6520984004654986</v>
      </c>
      <c r="W44" s="38"/>
      <c r="X44" s="41">
        <f>M44/O44</f>
        <v>0.48036686160505759</v>
      </c>
      <c r="Y44" s="41">
        <f>(M44+P44)/O44</f>
        <v>0.76849241109370769</v>
      </c>
      <c r="Z44" s="38">
        <f>IF($M44=0,"-",(VLOOKUP($N44,'APP 2885'!$B$10:$G$59,4)*$I44)/(M44+P44))</f>
        <v>3.8960981519872804</v>
      </c>
      <c r="AA44" s="1"/>
    </row>
    <row r="45" spans="1:27" ht="14.5" x14ac:dyDescent="0.35">
      <c r="A45" s="1"/>
      <c r="B45" s="1"/>
      <c r="C45" s="6"/>
      <c r="D45" s="6"/>
      <c r="E45" s="7"/>
      <c r="F45" s="7"/>
      <c r="G45" s="7"/>
      <c r="H45" s="9"/>
      <c r="I45" s="9"/>
      <c r="J45" s="7"/>
      <c r="K45" s="7"/>
      <c r="L45" s="7"/>
      <c r="M45" s="10"/>
      <c r="N45" s="11"/>
      <c r="O45" s="1"/>
      <c r="P45" s="7"/>
      <c r="Q45" s="7"/>
      <c r="R45" s="12"/>
      <c r="S45" s="7"/>
      <c r="T45" s="7"/>
      <c r="U45" s="7"/>
      <c r="V45" s="7"/>
      <c r="W45" s="7"/>
      <c r="X45" s="7"/>
      <c r="Y45" s="7"/>
      <c r="Z45" s="1"/>
      <c r="AA45" s="1"/>
    </row>
    <row r="46" spans="1:27" ht="14.5" x14ac:dyDescent="0.35">
      <c r="A46" s="1"/>
      <c r="B46" s="13" t="s">
        <v>100</v>
      </c>
      <c r="C46" s="14">
        <v>5.0599999999999999E-2</v>
      </c>
      <c r="D46" s="6"/>
      <c r="E46" s="7"/>
      <c r="F46" s="7"/>
      <c r="G46" s="9"/>
      <c r="H46" s="7"/>
      <c r="I46" s="9"/>
      <c r="J46" s="1" t="s">
        <v>101</v>
      </c>
      <c r="K46" s="15">
        <f>K44-M44</f>
        <v>194763.68930000323</v>
      </c>
      <c r="L46" s="7"/>
      <c r="M46" s="9"/>
      <c r="N46" s="9"/>
      <c r="O46" s="9"/>
      <c r="P46" s="9"/>
      <c r="Q46" s="7"/>
      <c r="R46" s="16">
        <f>1274732</f>
        <v>1274732</v>
      </c>
      <c r="S46" s="9"/>
      <c r="T46" s="9"/>
      <c r="U46" s="8"/>
      <c r="V46" s="9"/>
      <c r="W46" s="7"/>
      <c r="X46" s="7"/>
      <c r="Y46" s="7"/>
      <c r="Z46" s="7"/>
      <c r="AA46" s="1"/>
    </row>
    <row r="47" spans="1:27" ht="14.5" x14ac:dyDescent="0.35">
      <c r="A47" s="1"/>
      <c r="B47" s="13" t="s">
        <v>102</v>
      </c>
      <c r="C47" s="14">
        <v>0.02</v>
      </c>
      <c r="D47" s="6"/>
      <c r="E47" s="7"/>
      <c r="F47" s="1"/>
      <c r="G47" s="7"/>
      <c r="H47" s="8"/>
      <c r="I47" s="9"/>
      <c r="J47" s="1"/>
      <c r="K47" s="1"/>
      <c r="L47" s="1"/>
      <c r="M47" s="1"/>
      <c r="N47" s="1"/>
      <c r="O47" s="17"/>
      <c r="P47" s="7"/>
      <c r="Q47" s="7"/>
      <c r="R47" s="68">
        <f>R44-R46</f>
        <v>3.2500000670552254E-3</v>
      </c>
      <c r="S47" s="7"/>
      <c r="T47" s="7"/>
      <c r="U47" s="7"/>
      <c r="V47" s="7"/>
      <c r="W47" s="7"/>
      <c r="X47" s="7"/>
      <c r="Y47" s="7"/>
      <c r="Z47" s="1"/>
      <c r="AA47" s="1"/>
    </row>
    <row r="48" spans="1:27" ht="14.5" x14ac:dyDescent="0.35">
      <c r="A48" s="1"/>
      <c r="B48" s="13" t="s">
        <v>103</v>
      </c>
      <c r="C48" s="14">
        <v>5.0599999999999999E-2</v>
      </c>
      <c r="D48" s="6"/>
      <c r="E48" s="7"/>
      <c r="F48" s="1"/>
      <c r="G48" s="7"/>
      <c r="H48" s="8"/>
      <c r="I48" s="9"/>
      <c r="J48" s="1"/>
      <c r="K48" s="1"/>
      <c r="L48" s="1"/>
      <c r="M48" s="1"/>
      <c r="N48" s="1"/>
      <c r="O48" s="1"/>
      <c r="P48" s="7"/>
      <c r="Q48" s="7"/>
      <c r="R48" s="8"/>
      <c r="S48" s="7"/>
      <c r="T48" s="7"/>
      <c r="U48" s="7"/>
      <c r="V48" s="7"/>
      <c r="W48" s="7"/>
      <c r="X48" s="7"/>
      <c r="Y48" s="7"/>
      <c r="Z48" s="1"/>
      <c r="AA48" s="1"/>
    </row>
    <row r="49" spans="1:27" ht="14.5" x14ac:dyDescent="0.35">
      <c r="A49" s="1"/>
      <c r="B49" s="13" t="s">
        <v>104</v>
      </c>
      <c r="C49" s="69">
        <v>1247031</v>
      </c>
      <c r="D49" s="6"/>
      <c r="E49" s="7"/>
      <c r="F49" s="7"/>
      <c r="G49" s="7"/>
      <c r="H49" s="9"/>
      <c r="I49" s="9"/>
      <c r="J49" s="1"/>
      <c r="K49" s="1"/>
      <c r="L49" s="1"/>
      <c r="M49" s="1"/>
      <c r="N49" s="1"/>
      <c r="O49" s="1"/>
      <c r="P49" s="7"/>
      <c r="Q49" s="7"/>
      <c r="R49" s="8"/>
      <c r="S49" s="7"/>
      <c r="T49" s="7"/>
      <c r="U49" s="7"/>
      <c r="V49" s="7"/>
      <c r="W49" s="7"/>
      <c r="X49" s="7"/>
      <c r="Y49" s="7"/>
      <c r="Z49" s="1"/>
      <c r="AA49" s="1"/>
    </row>
    <row r="50" spans="1:27" ht="14.5" x14ac:dyDescent="0.35">
      <c r="A50" s="1"/>
      <c r="B50" s="13" t="s">
        <v>105</v>
      </c>
      <c r="C50" s="70">
        <f>C49*0.4</f>
        <v>498812.4</v>
      </c>
      <c r="D50" s="6"/>
      <c r="E50" s="7"/>
      <c r="F50" s="6"/>
      <c r="G50" s="7"/>
      <c r="H50" s="18"/>
      <c r="I50" s="9"/>
      <c r="J50" s="6"/>
      <c r="K50" s="6"/>
      <c r="L50" s="6"/>
      <c r="M50" s="6"/>
      <c r="N50" s="6"/>
      <c r="O50" s="6"/>
      <c r="P50" s="6"/>
      <c r="Q50" s="6"/>
      <c r="R50" s="18"/>
      <c r="S50" s="7"/>
      <c r="T50" s="6"/>
      <c r="U50" s="6"/>
      <c r="V50" s="6"/>
      <c r="W50" s="6"/>
      <c r="X50" s="6"/>
      <c r="Y50" s="6"/>
      <c r="Z50" s="6"/>
      <c r="AA50" s="1"/>
    </row>
    <row r="51" spans="1:27" ht="14.5" x14ac:dyDescent="0.35">
      <c r="A51" s="1"/>
      <c r="B51" s="13" t="s">
        <v>106</v>
      </c>
      <c r="C51" s="70">
        <f>C49*0.6</f>
        <v>748218.6</v>
      </c>
      <c r="D51" s="6"/>
      <c r="E51" s="7"/>
      <c r="F51" s="6"/>
      <c r="G51" s="7"/>
      <c r="H51" s="18"/>
      <c r="I51" s="9"/>
      <c r="J51" s="6"/>
      <c r="K51" s="6"/>
      <c r="L51" s="6"/>
      <c r="M51" s="6"/>
      <c r="N51" s="6"/>
      <c r="O51" s="6"/>
      <c r="P51" s="6"/>
      <c r="Q51" s="6"/>
      <c r="R51" s="18"/>
      <c r="S51" s="18"/>
      <c r="T51" s="6"/>
      <c r="U51" s="6"/>
      <c r="V51" s="6"/>
      <c r="W51" s="6"/>
      <c r="X51" s="6"/>
      <c r="Y51" s="6"/>
      <c r="Z51" s="6"/>
      <c r="AA51" s="1"/>
    </row>
    <row r="52" spans="1:27" ht="14.5" x14ac:dyDescent="0.35">
      <c r="A52" s="1"/>
      <c r="B52" s="6"/>
      <c r="C52" s="6"/>
      <c r="D52" s="6"/>
      <c r="E52" s="7"/>
      <c r="F52" s="6"/>
      <c r="G52" s="7"/>
      <c r="H52" s="18"/>
      <c r="I52" s="9"/>
      <c r="J52" s="6"/>
      <c r="K52" s="6"/>
      <c r="L52" s="6"/>
      <c r="M52" s="6"/>
      <c r="N52" s="6"/>
      <c r="O52" s="6"/>
      <c r="P52" s="6"/>
      <c r="Q52" s="6"/>
      <c r="R52" s="18"/>
      <c r="S52" s="18"/>
      <c r="T52" s="6"/>
      <c r="U52" s="6"/>
      <c r="V52" s="6"/>
      <c r="W52" s="6"/>
      <c r="X52" s="6"/>
      <c r="Y52" s="6"/>
      <c r="Z52" s="6"/>
      <c r="AA52" s="1"/>
    </row>
    <row r="53" spans="1:27" ht="14.5" x14ac:dyDescent="0.35">
      <c r="A53" s="6"/>
      <c r="B53" s="6"/>
      <c r="C53" s="6"/>
      <c r="D53" s="6"/>
      <c r="E53" s="7"/>
      <c r="F53" s="6"/>
      <c r="G53" s="7"/>
      <c r="H53" s="18"/>
      <c r="I53" s="9"/>
      <c r="J53" s="6"/>
      <c r="K53" s="6"/>
      <c r="L53" s="6"/>
      <c r="M53" s="6"/>
      <c r="N53" s="6"/>
      <c r="O53" s="6"/>
      <c r="P53" s="6"/>
      <c r="Q53" s="6"/>
      <c r="R53" s="18"/>
      <c r="S53" s="18"/>
      <c r="T53" s="6"/>
      <c r="U53" s="6"/>
      <c r="V53" s="6"/>
      <c r="W53" s="6"/>
      <c r="X53" s="6"/>
      <c r="Y53" s="6"/>
      <c r="Z53" s="6"/>
      <c r="AA53" s="1"/>
    </row>
    <row r="54" spans="1:27" ht="14.5" x14ac:dyDescent="0.35">
      <c r="A54" s="6"/>
      <c r="B54" s="19">
        <v>766935</v>
      </c>
      <c r="C54" s="6"/>
      <c r="D54" s="6"/>
      <c r="E54" s="7"/>
      <c r="F54" s="6"/>
      <c r="G54" s="7"/>
      <c r="H54" s="18"/>
      <c r="I54" s="9"/>
      <c r="J54" s="6"/>
      <c r="K54" s="6"/>
      <c r="L54" s="6"/>
      <c r="M54" s="6"/>
      <c r="N54" s="6"/>
      <c r="O54" s="6"/>
      <c r="P54" s="6"/>
      <c r="Q54" s="6"/>
      <c r="R54" s="18"/>
      <c r="S54" s="18"/>
      <c r="T54" s="6"/>
      <c r="U54" s="6"/>
      <c r="V54" s="6"/>
      <c r="W54" s="6"/>
      <c r="X54" s="6"/>
      <c r="Y54" s="6"/>
      <c r="Z54" s="6"/>
      <c r="AA54" s="1"/>
    </row>
    <row r="55" spans="1:27" ht="14.5" x14ac:dyDescent="0.35">
      <c r="A55" s="1"/>
      <c r="B55" s="6"/>
      <c r="C55" s="6"/>
      <c r="D55" s="6"/>
      <c r="E55" s="7"/>
      <c r="F55" s="6"/>
      <c r="G55" s="7"/>
      <c r="H55" s="18"/>
      <c r="I55" s="9"/>
      <c r="J55" s="6"/>
      <c r="K55" s="6"/>
      <c r="L55" s="6"/>
      <c r="M55" s="6"/>
      <c r="N55" s="6"/>
      <c r="O55" s="6"/>
      <c r="P55" s="6"/>
      <c r="Q55" s="6"/>
      <c r="R55" s="18"/>
      <c r="S55" s="18"/>
      <c r="T55" s="6"/>
      <c r="U55" s="6"/>
      <c r="V55" s="6"/>
      <c r="W55" s="6"/>
      <c r="X55" s="6"/>
      <c r="Y55" s="6"/>
      <c r="Z55" s="6"/>
      <c r="AA55" s="1"/>
    </row>
    <row r="56" spans="1:27" ht="14.5" x14ac:dyDescent="0.35">
      <c r="A56" s="1"/>
      <c r="B56" s="6"/>
      <c r="C56" s="6"/>
      <c r="D56" s="6"/>
      <c r="E56" s="7"/>
      <c r="F56" s="6"/>
      <c r="G56" s="7"/>
      <c r="H56" s="18"/>
      <c r="I56" s="9"/>
      <c r="J56" s="6"/>
      <c r="K56" s="6"/>
      <c r="L56" s="6"/>
      <c r="M56" s="6"/>
      <c r="N56" s="6"/>
      <c r="O56" s="6"/>
      <c r="P56" s="6"/>
      <c r="Q56" s="6"/>
      <c r="R56" s="18"/>
      <c r="S56" s="18"/>
      <c r="T56" s="6"/>
      <c r="U56" s="6"/>
      <c r="V56" s="6"/>
      <c r="W56" s="6"/>
      <c r="X56" s="6"/>
      <c r="Y56" s="6"/>
      <c r="Z56" s="6"/>
      <c r="AA56" s="1"/>
    </row>
    <row r="57" spans="1:27" ht="14.5" x14ac:dyDescent="0.35">
      <c r="A57" s="1"/>
      <c r="B57" s="1"/>
      <c r="C57" s="6"/>
      <c r="D57" s="6"/>
      <c r="E57" s="7"/>
      <c r="F57" s="6"/>
      <c r="G57" s="7"/>
      <c r="H57" s="18"/>
      <c r="I57" s="9"/>
      <c r="J57" s="6"/>
      <c r="K57" s="6"/>
      <c r="L57" s="6"/>
      <c r="M57" s="6"/>
      <c r="N57" s="6"/>
      <c r="O57" s="6"/>
      <c r="P57" s="6"/>
      <c r="Q57" s="6"/>
      <c r="R57" s="18"/>
      <c r="S57" s="18"/>
      <c r="T57" s="6"/>
      <c r="U57" s="6"/>
      <c r="V57" s="6"/>
      <c r="W57" s="6"/>
      <c r="X57" s="6"/>
      <c r="Y57" s="6"/>
      <c r="Z57" s="6"/>
      <c r="AA57" s="1"/>
    </row>
    <row r="58" spans="1:27" ht="14.5" x14ac:dyDescent="0.35">
      <c r="A58" s="1"/>
      <c r="B58" s="1"/>
      <c r="C58" s="6"/>
      <c r="D58" s="6"/>
      <c r="E58" s="7"/>
      <c r="F58" s="7"/>
      <c r="G58" s="7"/>
      <c r="H58" s="9"/>
      <c r="I58" s="9"/>
      <c r="J58" s="1"/>
      <c r="K58" s="1"/>
      <c r="L58" s="1"/>
      <c r="M58" s="1"/>
      <c r="N58" s="1"/>
      <c r="O58" s="1"/>
      <c r="P58" s="7"/>
      <c r="Q58" s="7"/>
      <c r="R58" s="8"/>
      <c r="S58" s="8"/>
      <c r="T58" s="7"/>
      <c r="U58" s="7"/>
      <c r="V58" s="7"/>
      <c r="W58" s="7"/>
      <c r="X58" s="7"/>
      <c r="Y58" s="7"/>
      <c r="Z58" s="1"/>
      <c r="AA58" s="1"/>
    </row>
    <row r="59" spans="1:27" ht="14.5" x14ac:dyDescent="0.35">
      <c r="A59" s="1"/>
      <c r="B59" s="1"/>
      <c r="C59" s="6"/>
      <c r="D59" s="6"/>
      <c r="E59" s="7"/>
      <c r="F59" s="7"/>
      <c r="G59" s="7"/>
      <c r="H59" s="9"/>
      <c r="I59" s="9"/>
      <c r="J59" s="1"/>
      <c r="K59" s="1"/>
      <c r="L59" s="1"/>
      <c r="M59" s="1"/>
      <c r="N59" s="1"/>
      <c r="O59" s="1"/>
      <c r="P59" s="7"/>
      <c r="Q59" s="7"/>
      <c r="R59" s="8"/>
      <c r="S59" s="8"/>
      <c r="T59" s="7"/>
      <c r="U59" s="7"/>
      <c r="V59" s="7"/>
      <c r="W59" s="7"/>
      <c r="X59" s="7"/>
      <c r="Y59" s="7"/>
      <c r="Z59" s="1"/>
      <c r="AA59" s="1"/>
    </row>
    <row r="60" spans="1:27" ht="14.5" x14ac:dyDescent="0.35">
      <c r="A60" s="1"/>
      <c r="B60" s="1"/>
      <c r="C60" s="6"/>
      <c r="D60" s="6"/>
      <c r="E60" s="7"/>
      <c r="F60" s="7"/>
      <c r="G60" s="7"/>
      <c r="H60" s="9"/>
      <c r="I60" s="9"/>
      <c r="J60" s="1"/>
      <c r="K60" s="1"/>
      <c r="L60" s="1"/>
      <c r="M60" s="1"/>
      <c r="N60" s="1"/>
      <c r="O60" s="1"/>
      <c r="P60" s="7"/>
      <c r="Q60" s="7"/>
      <c r="R60" s="8"/>
      <c r="S60" s="8"/>
      <c r="T60" s="7"/>
      <c r="U60" s="7"/>
      <c r="V60" s="7"/>
      <c r="W60" s="7"/>
      <c r="X60" s="7"/>
      <c r="Y60" s="7"/>
      <c r="Z60" s="1"/>
      <c r="AA60" s="1"/>
    </row>
    <row r="61" spans="1:27" ht="14.5" x14ac:dyDescent="0.35">
      <c r="A61" s="1"/>
      <c r="B61" s="1"/>
      <c r="C61" s="6"/>
      <c r="D61" s="6"/>
      <c r="E61" s="7"/>
      <c r="F61" s="7"/>
      <c r="G61" s="7"/>
      <c r="H61" s="9"/>
      <c r="I61" s="9"/>
      <c r="J61" s="1"/>
      <c r="K61" s="1"/>
      <c r="L61" s="1"/>
      <c r="M61" s="1"/>
      <c r="N61" s="1"/>
      <c r="O61" s="1"/>
      <c r="P61" s="7"/>
      <c r="Q61" s="7"/>
      <c r="R61" s="8"/>
      <c r="S61" s="8"/>
      <c r="T61" s="7"/>
      <c r="U61" s="7"/>
      <c r="V61" s="7"/>
      <c r="W61" s="7"/>
      <c r="X61" s="7"/>
      <c r="Y61" s="7"/>
      <c r="Z61" s="1"/>
      <c r="AA61" s="1"/>
    </row>
    <row r="62" spans="1:27" ht="14.5" x14ac:dyDescent="0.35">
      <c r="A62" s="1"/>
      <c r="B62" s="1"/>
      <c r="C62" s="6"/>
      <c r="D62" s="6"/>
      <c r="E62" s="7"/>
      <c r="F62" s="7"/>
      <c r="G62" s="7"/>
      <c r="H62" s="9"/>
      <c r="I62" s="9"/>
      <c r="J62" s="1"/>
      <c r="K62" s="1"/>
      <c r="L62" s="1"/>
      <c r="M62" s="1"/>
      <c r="N62" s="1"/>
      <c r="O62" s="1"/>
      <c r="P62" s="7"/>
      <c r="Q62" s="7"/>
      <c r="R62" s="8"/>
      <c r="S62" s="8"/>
      <c r="T62" s="7"/>
      <c r="U62" s="7"/>
      <c r="V62" s="7"/>
      <c r="W62" s="7"/>
      <c r="X62" s="7"/>
      <c r="Y62" s="7"/>
      <c r="Z62" s="1"/>
      <c r="AA62" s="1"/>
    </row>
    <row r="63" spans="1:27" ht="14.5" x14ac:dyDescent="0.35">
      <c r="A63" s="1"/>
      <c r="B63" s="1"/>
      <c r="C63" s="6"/>
      <c r="D63" s="6"/>
      <c r="E63" s="7"/>
      <c r="F63" s="7"/>
      <c r="G63" s="7"/>
      <c r="H63" s="9"/>
      <c r="I63" s="9"/>
      <c r="J63" s="1"/>
      <c r="K63" s="1"/>
      <c r="L63" s="1"/>
      <c r="M63" s="1"/>
      <c r="N63" s="1"/>
      <c r="O63" s="1"/>
      <c r="P63" s="7"/>
      <c r="Q63" s="7"/>
      <c r="R63" s="8"/>
      <c r="S63" s="8"/>
      <c r="T63" s="7"/>
      <c r="U63" s="7"/>
      <c r="V63" s="7"/>
      <c r="W63" s="7"/>
      <c r="X63" s="7"/>
      <c r="Y63" s="7"/>
      <c r="Z63" s="1"/>
      <c r="AA63" s="1"/>
    </row>
  </sheetData>
  <mergeCells count="3">
    <mergeCell ref="C1:Z1"/>
    <mergeCell ref="B3:C3"/>
    <mergeCell ref="B2:V2"/>
  </mergeCells>
  <dataValidations count="1">
    <dataValidation allowBlank="1" showInputMessage="1" showErrorMessage="1" error=" " promptTitle="Lookup" prompt="This Parent Project record must already exist in Microsoft Dynamics 365 or in this source file." sqref="I35:I40 F35:F40" xr:uid="{053F14C4-A8F5-4DB2-9956-67809649E7AA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ECEF2-EAC7-4B63-ADAC-EBF9F110E2FB}">
  <dimension ref="A1:I64"/>
  <sheetViews>
    <sheetView workbookViewId="0">
      <selection activeCell="G19" sqref="G19"/>
    </sheetView>
  </sheetViews>
  <sheetFormatPr defaultRowHeight="14.5" x14ac:dyDescent="0.35"/>
  <sheetData>
    <row r="1" spans="1:9" x14ac:dyDescent="0.35">
      <c r="A1" s="82" t="s">
        <v>1</v>
      </c>
      <c r="B1" s="82"/>
      <c r="C1" s="82"/>
      <c r="D1" s="82"/>
      <c r="E1" s="82"/>
      <c r="F1" s="82"/>
      <c r="G1" s="82"/>
      <c r="H1" s="82"/>
      <c r="I1" s="9"/>
    </row>
    <row r="2" spans="1:9" x14ac:dyDescent="0.35">
      <c r="A2" s="82" t="s">
        <v>107</v>
      </c>
      <c r="B2" s="82"/>
      <c r="C2" s="82"/>
      <c r="D2" s="82"/>
      <c r="E2" s="82"/>
      <c r="F2" s="82"/>
      <c r="G2" s="82"/>
      <c r="H2" s="82"/>
      <c r="I2" s="9"/>
    </row>
    <row r="3" spans="1:9" x14ac:dyDescent="0.35">
      <c r="A3" s="82" t="s">
        <v>108</v>
      </c>
      <c r="B3" s="82"/>
      <c r="C3" s="82"/>
      <c r="D3" s="82"/>
      <c r="E3" s="82"/>
      <c r="F3" s="82"/>
      <c r="G3" s="82"/>
      <c r="H3" s="82"/>
      <c r="I3" s="9"/>
    </row>
    <row r="4" spans="1:9" x14ac:dyDescent="0.35">
      <c r="A4" s="82" t="s">
        <v>109</v>
      </c>
      <c r="B4" s="82"/>
      <c r="C4" s="82"/>
      <c r="D4" s="82"/>
      <c r="E4" s="82"/>
      <c r="F4" s="82"/>
      <c r="G4" s="82"/>
      <c r="H4" s="82"/>
      <c r="I4" s="9"/>
    </row>
    <row r="5" spans="1:9" x14ac:dyDescent="0.35">
      <c r="A5" s="81"/>
      <c r="B5" s="81"/>
      <c r="C5" s="1"/>
      <c r="D5" s="1"/>
      <c r="E5" s="1"/>
      <c r="F5" s="1"/>
      <c r="G5" s="1"/>
      <c r="H5" s="1"/>
      <c r="I5" s="1"/>
    </row>
    <row r="6" spans="1:9" x14ac:dyDescent="0.35">
      <c r="A6" s="83"/>
      <c r="B6" s="85" t="s">
        <v>110</v>
      </c>
      <c r="C6" s="25" t="s">
        <v>111</v>
      </c>
      <c r="D6" s="25" t="s">
        <v>112</v>
      </c>
      <c r="E6" s="25" t="s">
        <v>113</v>
      </c>
      <c r="F6" s="25" t="s">
        <v>114</v>
      </c>
      <c r="G6" s="25" t="s">
        <v>115</v>
      </c>
      <c r="H6" s="88"/>
      <c r="I6" s="78"/>
    </row>
    <row r="7" spans="1:9" ht="19" x14ac:dyDescent="0.35">
      <c r="A7" s="83"/>
      <c r="B7" s="86"/>
      <c r="C7" s="26" t="s">
        <v>116</v>
      </c>
      <c r="D7" s="26" t="s">
        <v>117</v>
      </c>
      <c r="E7" s="26" t="s">
        <v>118</v>
      </c>
      <c r="F7" s="26" t="s">
        <v>119</v>
      </c>
      <c r="G7" s="26" t="s">
        <v>120</v>
      </c>
      <c r="H7" s="88"/>
      <c r="I7" s="78"/>
    </row>
    <row r="8" spans="1:9" ht="28.5" x14ac:dyDescent="0.35">
      <c r="A8" s="83"/>
      <c r="B8" s="86"/>
      <c r="C8" s="26" t="s">
        <v>121</v>
      </c>
      <c r="D8" s="26" t="s">
        <v>122</v>
      </c>
      <c r="E8" s="26" t="s">
        <v>116</v>
      </c>
      <c r="F8" s="26" t="s">
        <v>123</v>
      </c>
      <c r="G8" s="26" t="s">
        <v>124</v>
      </c>
      <c r="H8" s="88"/>
      <c r="I8" s="78"/>
    </row>
    <row r="9" spans="1:9" ht="28.5" x14ac:dyDescent="0.35">
      <c r="A9" s="84"/>
      <c r="B9" s="87"/>
      <c r="C9" s="27" t="s">
        <v>125</v>
      </c>
      <c r="D9" s="27" t="s">
        <v>126</v>
      </c>
      <c r="E9" s="27" t="s">
        <v>127</v>
      </c>
      <c r="F9" s="27"/>
      <c r="G9" s="27" t="s">
        <v>128</v>
      </c>
      <c r="H9" s="88"/>
      <c r="I9" s="78"/>
    </row>
    <row r="10" spans="1:9" x14ac:dyDescent="0.35">
      <c r="A10" s="28">
        <v>2023</v>
      </c>
      <c r="B10" s="28">
        <v>1</v>
      </c>
      <c r="C10" s="29">
        <v>1.31</v>
      </c>
      <c r="D10" s="29">
        <v>1.31</v>
      </c>
      <c r="E10" s="29">
        <v>1.31</v>
      </c>
      <c r="F10" s="30">
        <v>0.1</v>
      </c>
      <c r="G10" s="29">
        <v>1.4463999999999999</v>
      </c>
      <c r="H10" s="7"/>
      <c r="I10" s="7"/>
    </row>
    <row r="11" spans="1:9" x14ac:dyDescent="0.35">
      <c r="A11" s="28">
        <v>2024</v>
      </c>
      <c r="B11" s="28">
        <v>2</v>
      </c>
      <c r="C11" s="29">
        <v>1.19</v>
      </c>
      <c r="D11" s="29">
        <v>1.25</v>
      </c>
      <c r="E11" s="29">
        <v>2.56</v>
      </c>
      <c r="F11" s="30">
        <v>0.1</v>
      </c>
      <c r="G11" s="29">
        <v>2.8214000000000001</v>
      </c>
      <c r="H11" s="7"/>
      <c r="I11" s="7"/>
    </row>
    <row r="12" spans="1:9" x14ac:dyDescent="0.35">
      <c r="A12" s="28">
        <v>2025</v>
      </c>
      <c r="B12" s="28">
        <v>3</v>
      </c>
      <c r="C12" s="29">
        <v>0.98</v>
      </c>
      <c r="D12" s="29">
        <v>1.08</v>
      </c>
      <c r="E12" s="29">
        <v>3.64</v>
      </c>
      <c r="F12" s="30">
        <v>0.1</v>
      </c>
      <c r="G12" s="29">
        <v>4.0084</v>
      </c>
      <c r="H12" s="7"/>
      <c r="I12" s="7"/>
    </row>
    <row r="13" spans="1:9" x14ac:dyDescent="0.35">
      <c r="A13" s="28">
        <v>2026</v>
      </c>
      <c r="B13" s="28">
        <v>4</v>
      </c>
      <c r="C13" s="29">
        <v>0.82</v>
      </c>
      <c r="D13" s="29">
        <v>0.95</v>
      </c>
      <c r="E13" s="29">
        <v>4.5999999999999996</v>
      </c>
      <c r="F13" s="30">
        <v>0.1</v>
      </c>
      <c r="G13" s="29">
        <v>5.0564</v>
      </c>
      <c r="H13" s="1"/>
      <c r="I13" s="1"/>
    </row>
    <row r="14" spans="1:9" x14ac:dyDescent="0.35">
      <c r="A14" s="28">
        <v>2027</v>
      </c>
      <c r="B14" s="28">
        <v>5</v>
      </c>
      <c r="C14" s="29">
        <v>0.85</v>
      </c>
      <c r="D14" s="29">
        <v>1.03</v>
      </c>
      <c r="E14" s="29">
        <v>5.63</v>
      </c>
      <c r="F14" s="30">
        <v>0.1</v>
      </c>
      <c r="G14" s="29">
        <v>6.1889000000000003</v>
      </c>
      <c r="H14" s="1"/>
      <c r="I14" s="1"/>
    </row>
    <row r="15" spans="1:9" x14ac:dyDescent="0.35">
      <c r="A15" s="28">
        <v>2028</v>
      </c>
      <c r="B15" s="28">
        <v>6</v>
      </c>
      <c r="C15" s="29">
        <v>0.79</v>
      </c>
      <c r="D15" s="29">
        <v>1.01</v>
      </c>
      <c r="E15" s="29">
        <v>6.64</v>
      </c>
      <c r="F15" s="30">
        <v>0.1</v>
      </c>
      <c r="G15" s="29">
        <v>7.3028000000000004</v>
      </c>
      <c r="H15" s="1"/>
      <c r="I15" s="1"/>
    </row>
    <row r="16" spans="1:9" x14ac:dyDescent="0.35">
      <c r="A16" s="28">
        <v>2029</v>
      </c>
      <c r="B16" s="28">
        <v>7</v>
      </c>
      <c r="C16" s="29">
        <v>0.81</v>
      </c>
      <c r="D16" s="29">
        <v>1.0900000000000001</v>
      </c>
      <c r="E16" s="29">
        <v>7.72</v>
      </c>
      <c r="F16" s="30">
        <v>0.1</v>
      </c>
      <c r="G16" s="29">
        <v>8.4962999999999997</v>
      </c>
      <c r="H16" s="1"/>
      <c r="I16" s="1"/>
    </row>
    <row r="17" spans="1:9" x14ac:dyDescent="0.35">
      <c r="A17" s="28">
        <v>2030</v>
      </c>
      <c r="B17" s="28">
        <v>8</v>
      </c>
      <c r="C17" s="29">
        <v>1.9</v>
      </c>
      <c r="D17" s="29">
        <v>2.69</v>
      </c>
      <c r="E17" s="29">
        <v>10.41</v>
      </c>
      <c r="F17" s="30">
        <v>0.1</v>
      </c>
      <c r="G17" s="29">
        <v>11.455299999999999</v>
      </c>
      <c r="H17" s="1"/>
      <c r="I17" s="1"/>
    </row>
    <row r="18" spans="1:9" x14ac:dyDescent="0.35">
      <c r="A18" s="28">
        <v>2031</v>
      </c>
      <c r="B18" s="28">
        <v>9</v>
      </c>
      <c r="C18" s="29">
        <v>0.75</v>
      </c>
      <c r="D18" s="29">
        <v>1.1100000000000001</v>
      </c>
      <c r="E18" s="29">
        <v>11.52</v>
      </c>
      <c r="F18" s="30">
        <v>0.1</v>
      </c>
      <c r="G18" s="29">
        <v>12.6732</v>
      </c>
      <c r="H18" s="1"/>
      <c r="I18" s="1"/>
    </row>
    <row r="19" spans="1:9" x14ac:dyDescent="0.35">
      <c r="A19" s="28">
        <v>2032</v>
      </c>
      <c r="B19" s="28">
        <v>10</v>
      </c>
      <c r="C19" s="29">
        <v>0.67</v>
      </c>
      <c r="D19" s="29">
        <v>1.04</v>
      </c>
      <c r="E19" s="29">
        <v>12.56</v>
      </c>
      <c r="F19" s="30">
        <v>0.1</v>
      </c>
      <c r="G19" s="29">
        <v>13.8164</v>
      </c>
      <c r="H19" s="1"/>
      <c r="I19" s="1"/>
    </row>
    <row r="20" spans="1:9" x14ac:dyDescent="0.35">
      <c r="A20" s="28">
        <v>2033</v>
      </c>
      <c r="B20" s="28">
        <v>11</v>
      </c>
      <c r="C20" s="29">
        <v>0.73</v>
      </c>
      <c r="D20" s="29">
        <v>1.2</v>
      </c>
      <c r="E20" s="29">
        <v>13.76</v>
      </c>
      <c r="F20" s="30">
        <v>0.1</v>
      </c>
      <c r="G20" s="29">
        <v>15.1328</v>
      </c>
      <c r="H20" s="1"/>
      <c r="I20" s="1"/>
    </row>
    <row r="21" spans="1:9" x14ac:dyDescent="0.35">
      <c r="A21" s="28">
        <v>2034</v>
      </c>
      <c r="B21" s="28">
        <v>12</v>
      </c>
      <c r="C21" s="29">
        <v>0.67</v>
      </c>
      <c r="D21" s="29">
        <v>1.1599999999999999</v>
      </c>
      <c r="E21" s="29">
        <v>14.92</v>
      </c>
      <c r="F21" s="30">
        <v>0.1</v>
      </c>
      <c r="G21" s="29">
        <v>16.409700000000001</v>
      </c>
      <c r="H21" s="1"/>
      <c r="I21" s="1"/>
    </row>
    <row r="22" spans="1:9" x14ac:dyDescent="0.35">
      <c r="A22" s="28">
        <v>2035</v>
      </c>
      <c r="B22" s="28">
        <v>13</v>
      </c>
      <c r="C22" s="29">
        <v>0.65</v>
      </c>
      <c r="D22" s="29">
        <v>1.18</v>
      </c>
      <c r="E22" s="29">
        <v>16.100000000000001</v>
      </c>
      <c r="F22" s="30">
        <v>0.1</v>
      </c>
      <c r="G22" s="29">
        <v>17.706299999999999</v>
      </c>
      <c r="H22" s="1"/>
      <c r="I22" s="1"/>
    </row>
    <row r="23" spans="1:9" x14ac:dyDescent="0.35">
      <c r="A23" s="28">
        <v>2036</v>
      </c>
      <c r="B23" s="28">
        <v>14</v>
      </c>
      <c r="C23" s="29">
        <v>0.83</v>
      </c>
      <c r="D23" s="29">
        <v>1.58</v>
      </c>
      <c r="E23" s="29">
        <v>17.670000000000002</v>
      </c>
      <c r="F23" s="30">
        <v>0.1</v>
      </c>
      <c r="G23" s="29">
        <v>19.4405</v>
      </c>
      <c r="H23" s="1"/>
      <c r="I23" s="1"/>
    </row>
    <row r="24" spans="1:9" x14ac:dyDescent="0.35">
      <c r="A24" s="28">
        <v>2037</v>
      </c>
      <c r="B24" s="28">
        <v>15</v>
      </c>
      <c r="C24" s="29">
        <v>0.56999999999999995</v>
      </c>
      <c r="D24" s="29">
        <v>1.1299999999999999</v>
      </c>
      <c r="E24" s="29">
        <v>18.8</v>
      </c>
      <c r="F24" s="30">
        <v>0.1</v>
      </c>
      <c r="G24" s="29">
        <v>20.684000000000001</v>
      </c>
      <c r="H24" s="1"/>
      <c r="I24" s="1"/>
    </row>
    <row r="25" spans="1:9" x14ac:dyDescent="0.35">
      <c r="A25" s="28">
        <v>2038</v>
      </c>
      <c r="B25" s="28">
        <v>16</v>
      </c>
      <c r="C25" s="29">
        <v>0.6</v>
      </c>
      <c r="D25" s="29">
        <v>1.25</v>
      </c>
      <c r="E25" s="29">
        <v>20.059999999999999</v>
      </c>
      <c r="F25" s="30">
        <v>0.1</v>
      </c>
      <c r="G25" s="29">
        <v>22.0623</v>
      </c>
      <c r="H25" s="1"/>
      <c r="I25" s="1"/>
    </row>
    <row r="26" spans="1:9" x14ac:dyDescent="0.35">
      <c r="A26" s="28">
        <v>2039</v>
      </c>
      <c r="B26" s="28">
        <v>17</v>
      </c>
      <c r="C26" s="29">
        <v>0.56999999999999995</v>
      </c>
      <c r="D26" s="29">
        <v>1.26</v>
      </c>
      <c r="E26" s="29">
        <v>21.31</v>
      </c>
      <c r="F26" s="30">
        <v>0.1</v>
      </c>
      <c r="G26" s="29">
        <v>23.445</v>
      </c>
      <c r="H26" s="1"/>
      <c r="I26" s="1"/>
    </row>
    <row r="27" spans="1:9" x14ac:dyDescent="0.35">
      <c r="A27" s="28">
        <v>2040</v>
      </c>
      <c r="B27" s="28">
        <v>18</v>
      </c>
      <c r="C27" s="29">
        <v>0.55000000000000004</v>
      </c>
      <c r="D27" s="29">
        <v>1.26</v>
      </c>
      <c r="E27" s="29">
        <v>22.58</v>
      </c>
      <c r="F27" s="30">
        <v>0.1</v>
      </c>
      <c r="G27" s="29">
        <v>24.8337</v>
      </c>
      <c r="H27" s="1"/>
      <c r="I27" s="1"/>
    </row>
    <row r="28" spans="1:9" x14ac:dyDescent="0.35">
      <c r="A28" s="28">
        <v>2041</v>
      </c>
      <c r="B28" s="28">
        <v>19</v>
      </c>
      <c r="C28" s="29">
        <v>4.8499999999999996</v>
      </c>
      <c r="D28" s="29">
        <v>11.79</v>
      </c>
      <c r="E28" s="29">
        <v>34.369999999999997</v>
      </c>
      <c r="F28" s="30">
        <v>0.1</v>
      </c>
      <c r="G28" s="29">
        <v>37.803199999999997</v>
      </c>
      <c r="H28" s="1"/>
      <c r="I28" s="1"/>
    </row>
    <row r="29" spans="1:9" x14ac:dyDescent="0.35">
      <c r="A29" s="28">
        <v>2042</v>
      </c>
      <c r="B29" s="28">
        <v>20</v>
      </c>
      <c r="C29" s="29">
        <v>0.53</v>
      </c>
      <c r="D29" s="29">
        <v>1.35</v>
      </c>
      <c r="E29" s="29">
        <v>35.72</v>
      </c>
      <c r="F29" s="30">
        <v>0.1</v>
      </c>
      <c r="G29" s="29">
        <v>39.29</v>
      </c>
      <c r="H29" s="1"/>
      <c r="I29" s="1"/>
    </row>
    <row r="30" spans="1:9" x14ac:dyDescent="0.35">
      <c r="A30" s="28">
        <v>2043</v>
      </c>
      <c r="B30" s="28">
        <v>21</v>
      </c>
      <c r="C30" s="29">
        <v>0.52</v>
      </c>
      <c r="D30" s="29">
        <v>1.39</v>
      </c>
      <c r="E30" s="29">
        <v>37.1</v>
      </c>
      <c r="F30" s="30">
        <v>0.1</v>
      </c>
      <c r="G30" s="29">
        <v>40.814100000000003</v>
      </c>
      <c r="H30" s="1"/>
      <c r="I30" s="1"/>
    </row>
    <row r="31" spans="1:9" x14ac:dyDescent="0.35">
      <c r="A31" s="28">
        <v>2044</v>
      </c>
      <c r="B31" s="28">
        <v>22</v>
      </c>
      <c r="C31" s="29">
        <v>0.5</v>
      </c>
      <c r="D31" s="29">
        <v>1.42</v>
      </c>
      <c r="E31" s="29">
        <v>38.53</v>
      </c>
      <c r="F31" s="30">
        <v>0.1</v>
      </c>
      <c r="G31" s="29">
        <v>42.378599999999999</v>
      </c>
      <c r="H31" s="1"/>
      <c r="I31" s="1"/>
    </row>
    <row r="32" spans="1:9" x14ac:dyDescent="0.35">
      <c r="A32" s="28">
        <v>2045</v>
      </c>
      <c r="B32" s="28">
        <v>23</v>
      </c>
      <c r="C32" s="29">
        <v>0.49</v>
      </c>
      <c r="D32" s="29">
        <v>1.46</v>
      </c>
      <c r="E32" s="29">
        <v>39.99</v>
      </c>
      <c r="F32" s="30">
        <v>0.1</v>
      </c>
      <c r="G32" s="29">
        <v>43.986899999999999</v>
      </c>
      <c r="H32" s="1"/>
      <c r="I32" s="1"/>
    </row>
    <row r="33" spans="1:9" x14ac:dyDescent="0.35">
      <c r="A33" s="28">
        <v>2046</v>
      </c>
      <c r="B33" s="28">
        <v>24</v>
      </c>
      <c r="C33" s="29">
        <v>0.48</v>
      </c>
      <c r="D33" s="29">
        <v>1.5</v>
      </c>
      <c r="E33" s="29">
        <v>41.49</v>
      </c>
      <c r="F33" s="30">
        <v>0.1</v>
      </c>
      <c r="G33" s="29">
        <v>45.642400000000002</v>
      </c>
      <c r="H33" s="1"/>
      <c r="I33" s="1"/>
    </row>
    <row r="34" spans="1:9" x14ac:dyDescent="0.35">
      <c r="A34" s="28">
        <v>2047</v>
      </c>
      <c r="B34" s="28">
        <v>25</v>
      </c>
      <c r="C34" s="29">
        <v>0.47</v>
      </c>
      <c r="D34" s="29">
        <v>1.55</v>
      </c>
      <c r="E34" s="29">
        <v>43.04</v>
      </c>
      <c r="F34" s="30">
        <v>0.1</v>
      </c>
      <c r="G34" s="29">
        <v>47.348300000000002</v>
      </c>
      <c r="H34" s="1"/>
      <c r="I34" s="1"/>
    </row>
    <row r="35" spans="1:9" x14ac:dyDescent="0.35">
      <c r="A35" s="28">
        <v>2048</v>
      </c>
      <c r="B35" s="28">
        <v>26</v>
      </c>
      <c r="C35" s="29">
        <v>0.47</v>
      </c>
      <c r="D35" s="29">
        <v>1.6</v>
      </c>
      <c r="E35" s="29">
        <v>44.64</v>
      </c>
      <c r="F35" s="30">
        <v>0.1</v>
      </c>
      <c r="G35" s="29">
        <v>49.107700000000001</v>
      </c>
      <c r="H35" s="1"/>
      <c r="I35" s="1"/>
    </row>
    <row r="36" spans="1:9" x14ac:dyDescent="0.35">
      <c r="A36" s="28">
        <v>2049</v>
      </c>
      <c r="B36" s="28">
        <v>27</v>
      </c>
      <c r="C36" s="29">
        <v>0.46</v>
      </c>
      <c r="D36" s="29">
        <v>1.65</v>
      </c>
      <c r="E36" s="29">
        <v>46.29</v>
      </c>
      <c r="F36" s="30">
        <v>0.1</v>
      </c>
      <c r="G36" s="29">
        <v>50.923699999999997</v>
      </c>
      <c r="H36" s="1"/>
      <c r="I36" s="1"/>
    </row>
    <row r="37" spans="1:9" x14ac:dyDescent="0.35">
      <c r="A37" s="28">
        <v>2050</v>
      </c>
      <c r="B37" s="28">
        <v>28</v>
      </c>
      <c r="C37" s="29">
        <v>0.45</v>
      </c>
      <c r="D37" s="29">
        <v>1.7</v>
      </c>
      <c r="E37" s="29">
        <v>48</v>
      </c>
      <c r="F37" s="30">
        <v>0.1</v>
      </c>
      <c r="G37" s="29">
        <v>52.798999999999999</v>
      </c>
      <c r="H37" s="1"/>
      <c r="I37" s="1"/>
    </row>
    <row r="38" spans="1:9" x14ac:dyDescent="0.35">
      <c r="A38" s="28">
        <v>2051</v>
      </c>
      <c r="B38" s="28">
        <v>29</v>
      </c>
      <c r="C38" s="29">
        <v>0.44</v>
      </c>
      <c r="D38" s="29">
        <v>1.76</v>
      </c>
      <c r="E38" s="29">
        <v>49.76</v>
      </c>
      <c r="F38" s="30">
        <v>0.1</v>
      </c>
      <c r="G38" s="29">
        <v>54.7363</v>
      </c>
      <c r="H38" s="1"/>
      <c r="I38" s="1"/>
    </row>
    <row r="39" spans="1:9" x14ac:dyDescent="0.35">
      <c r="A39" s="28">
        <v>2052</v>
      </c>
      <c r="B39" s="28">
        <v>30</v>
      </c>
      <c r="C39" s="29">
        <v>0.43</v>
      </c>
      <c r="D39" s="29">
        <v>1.82</v>
      </c>
      <c r="E39" s="29">
        <v>51.58</v>
      </c>
      <c r="F39" s="30">
        <v>0.1</v>
      </c>
      <c r="G39" s="29">
        <v>56.737900000000003</v>
      </c>
      <c r="H39" s="1"/>
      <c r="I39" s="1"/>
    </row>
    <row r="40" spans="1:9" x14ac:dyDescent="0.35">
      <c r="A40" s="28">
        <v>2053</v>
      </c>
      <c r="B40" s="28">
        <v>31</v>
      </c>
      <c r="C40" s="29">
        <v>0.43</v>
      </c>
      <c r="D40" s="29">
        <v>1.88</v>
      </c>
      <c r="E40" s="29">
        <v>53.46</v>
      </c>
      <c r="F40" s="30">
        <v>0.1</v>
      </c>
      <c r="G40" s="29">
        <v>58.806600000000003</v>
      </c>
      <c r="H40" s="1"/>
      <c r="I40" s="1"/>
    </row>
    <row r="41" spans="1:9" x14ac:dyDescent="0.35">
      <c r="A41" s="28">
        <v>2054</v>
      </c>
      <c r="B41" s="28">
        <v>32</v>
      </c>
      <c r="C41" s="29">
        <v>0.42</v>
      </c>
      <c r="D41" s="29">
        <v>1.94</v>
      </c>
      <c r="E41" s="29">
        <v>55.4</v>
      </c>
      <c r="F41" s="30">
        <v>0.1</v>
      </c>
      <c r="G41" s="29">
        <v>60.944800000000001</v>
      </c>
      <c r="H41" s="1"/>
      <c r="I41" s="1"/>
    </row>
    <row r="42" spans="1:9" x14ac:dyDescent="0.35">
      <c r="A42" s="28">
        <v>2055</v>
      </c>
      <c r="B42" s="28">
        <v>33</v>
      </c>
      <c r="C42" s="29">
        <v>0.41</v>
      </c>
      <c r="D42" s="29">
        <v>2.0099999999999998</v>
      </c>
      <c r="E42" s="29">
        <v>57.41</v>
      </c>
      <c r="F42" s="30">
        <v>0.1</v>
      </c>
      <c r="G42" s="29">
        <v>63.155099999999997</v>
      </c>
      <c r="H42" s="1"/>
      <c r="I42" s="1"/>
    </row>
    <row r="43" spans="1:9" x14ac:dyDescent="0.35">
      <c r="A43" s="28">
        <v>2056</v>
      </c>
      <c r="B43" s="28">
        <v>34</v>
      </c>
      <c r="C43" s="29">
        <v>0.41</v>
      </c>
      <c r="D43" s="29">
        <v>2.08</v>
      </c>
      <c r="E43" s="29">
        <v>59.49</v>
      </c>
      <c r="F43" s="30">
        <v>0.1</v>
      </c>
      <c r="G43" s="29">
        <v>65.44</v>
      </c>
      <c r="H43" s="1"/>
      <c r="I43" s="1"/>
    </row>
    <row r="44" spans="1:9" x14ac:dyDescent="0.35">
      <c r="A44" s="28">
        <v>2057</v>
      </c>
      <c r="B44" s="28">
        <v>35</v>
      </c>
      <c r="C44" s="29">
        <v>0.4</v>
      </c>
      <c r="D44" s="29">
        <v>2.15</v>
      </c>
      <c r="E44" s="29">
        <v>61.64</v>
      </c>
      <c r="F44" s="30">
        <v>0.1</v>
      </c>
      <c r="G44" s="29">
        <v>67.802499999999995</v>
      </c>
      <c r="H44" s="1"/>
      <c r="I44" s="1"/>
    </row>
    <row r="45" spans="1:9" x14ac:dyDescent="0.35">
      <c r="A45" s="28">
        <v>2058</v>
      </c>
      <c r="B45" s="28">
        <v>36</v>
      </c>
      <c r="C45" s="29">
        <v>0.39</v>
      </c>
      <c r="D45" s="29">
        <v>2.2200000000000002</v>
      </c>
      <c r="E45" s="29">
        <v>63.86</v>
      </c>
      <c r="F45" s="30">
        <v>0.1</v>
      </c>
      <c r="G45" s="29">
        <v>70.245400000000004</v>
      </c>
      <c r="H45" s="1"/>
      <c r="I45" s="1"/>
    </row>
    <row r="46" spans="1:9" x14ac:dyDescent="0.35">
      <c r="A46" s="28">
        <v>2059</v>
      </c>
      <c r="B46" s="28">
        <v>37</v>
      </c>
      <c r="C46" s="29">
        <v>0.39</v>
      </c>
      <c r="D46" s="29">
        <v>2.2999999999999998</v>
      </c>
      <c r="E46" s="29">
        <v>66.16</v>
      </c>
      <c r="F46" s="30">
        <v>0.1</v>
      </c>
      <c r="G46" s="29">
        <v>72.771299999999997</v>
      </c>
      <c r="H46" s="1"/>
      <c r="I46" s="1"/>
    </row>
    <row r="47" spans="1:9" x14ac:dyDescent="0.35">
      <c r="A47" s="28">
        <v>2060</v>
      </c>
      <c r="B47" s="28">
        <v>38</v>
      </c>
      <c r="C47" s="29">
        <v>0.38</v>
      </c>
      <c r="D47" s="29">
        <v>2.37</v>
      </c>
      <c r="E47" s="29">
        <v>68.53</v>
      </c>
      <c r="F47" s="30">
        <v>0.1</v>
      </c>
      <c r="G47" s="29">
        <v>75.383300000000006</v>
      </c>
      <c r="H47" s="1"/>
      <c r="I47" s="1"/>
    </row>
    <row r="48" spans="1:9" x14ac:dyDescent="0.35">
      <c r="A48" s="28">
        <v>2061</v>
      </c>
      <c r="B48" s="28">
        <v>39</v>
      </c>
      <c r="C48" s="29">
        <v>0.38</v>
      </c>
      <c r="D48" s="29">
        <v>2.46</v>
      </c>
      <c r="E48" s="29">
        <v>70.989999999999995</v>
      </c>
      <c r="F48" s="30">
        <v>0.1</v>
      </c>
      <c r="G48" s="29">
        <v>78.084400000000002</v>
      </c>
      <c r="H48" s="1"/>
      <c r="I48" s="1"/>
    </row>
    <row r="49" spans="1:9" x14ac:dyDescent="0.35">
      <c r="A49" s="28">
        <v>2062</v>
      </c>
      <c r="B49" s="28">
        <v>40</v>
      </c>
      <c r="C49" s="29">
        <v>0.37</v>
      </c>
      <c r="D49" s="29">
        <v>2.54</v>
      </c>
      <c r="E49" s="29">
        <v>73.53</v>
      </c>
      <c r="F49" s="30">
        <v>0.1</v>
      </c>
      <c r="G49" s="29">
        <v>80.877799999999993</v>
      </c>
      <c r="H49" s="1"/>
      <c r="I49" s="1"/>
    </row>
    <row r="50" spans="1:9" x14ac:dyDescent="0.35">
      <c r="A50" s="28">
        <v>2063</v>
      </c>
      <c r="B50" s="28">
        <v>41</v>
      </c>
      <c r="C50" s="29">
        <v>0.36</v>
      </c>
      <c r="D50" s="29">
        <v>2.63</v>
      </c>
      <c r="E50" s="29">
        <v>76.150000000000006</v>
      </c>
      <c r="F50" s="30">
        <v>0.1</v>
      </c>
      <c r="G50" s="29">
        <v>83.766800000000003</v>
      </c>
      <c r="H50" s="1"/>
      <c r="I50" s="1"/>
    </row>
    <row r="51" spans="1:9" x14ac:dyDescent="0.35">
      <c r="A51" s="28">
        <v>2064</v>
      </c>
      <c r="B51" s="28">
        <v>42</v>
      </c>
      <c r="C51" s="29">
        <v>0.36</v>
      </c>
      <c r="D51" s="29">
        <v>2.72</v>
      </c>
      <c r="E51" s="29">
        <v>78.87</v>
      </c>
      <c r="F51" s="30">
        <v>0.1</v>
      </c>
      <c r="G51" s="29">
        <v>86.754599999999996</v>
      </c>
      <c r="H51" s="1"/>
      <c r="I51" s="1"/>
    </row>
    <row r="52" spans="1:9" x14ac:dyDescent="0.35">
      <c r="A52" s="28">
        <v>2065</v>
      </c>
      <c r="B52" s="28">
        <v>43</v>
      </c>
      <c r="C52" s="29">
        <v>0.35</v>
      </c>
      <c r="D52" s="29">
        <v>2.81</v>
      </c>
      <c r="E52" s="29">
        <v>81.680000000000007</v>
      </c>
      <c r="F52" s="30">
        <v>0.1</v>
      </c>
      <c r="G52" s="29">
        <v>89.8446</v>
      </c>
      <c r="H52" s="1"/>
      <c r="I52" s="1"/>
    </row>
    <row r="53" spans="1:9" x14ac:dyDescent="0.35">
      <c r="A53" s="28">
        <v>2066</v>
      </c>
      <c r="B53" s="28">
        <v>44</v>
      </c>
      <c r="C53" s="29">
        <v>0.35</v>
      </c>
      <c r="D53" s="29">
        <v>2.91</v>
      </c>
      <c r="E53" s="29">
        <v>84.58</v>
      </c>
      <c r="F53" s="30">
        <v>0.1</v>
      </c>
      <c r="G53" s="29">
        <v>93.040499999999994</v>
      </c>
      <c r="H53" s="1"/>
      <c r="I53" s="1"/>
    </row>
    <row r="54" spans="1:9" x14ac:dyDescent="0.35">
      <c r="A54" s="28">
        <v>2067</v>
      </c>
      <c r="B54" s="28">
        <v>45</v>
      </c>
      <c r="C54" s="29">
        <v>0.34</v>
      </c>
      <c r="D54" s="29">
        <v>3</v>
      </c>
      <c r="E54" s="29">
        <v>87.59</v>
      </c>
      <c r="F54" s="30">
        <v>0.1</v>
      </c>
      <c r="G54" s="29">
        <v>96.3459</v>
      </c>
      <c r="H54" s="1"/>
      <c r="I54" s="1"/>
    </row>
    <row r="55" spans="1:9" x14ac:dyDescent="0.35">
      <c r="A55" s="28">
        <v>2068</v>
      </c>
      <c r="B55" s="28">
        <v>46</v>
      </c>
      <c r="C55" s="29">
        <v>0.34</v>
      </c>
      <c r="D55" s="29">
        <v>3</v>
      </c>
      <c r="E55" s="29">
        <v>90.59</v>
      </c>
      <c r="F55" s="30">
        <v>0.1</v>
      </c>
      <c r="G55" s="29">
        <v>99.651200000000003</v>
      </c>
      <c r="H55" s="1"/>
      <c r="I55" s="1"/>
    </row>
    <row r="56" spans="1:9" x14ac:dyDescent="0.35">
      <c r="A56" s="28">
        <v>2069</v>
      </c>
      <c r="B56" s="28">
        <v>47</v>
      </c>
      <c r="C56" s="29">
        <v>0.34</v>
      </c>
      <c r="D56" s="29">
        <v>3</v>
      </c>
      <c r="E56" s="29">
        <v>93.6</v>
      </c>
      <c r="F56" s="30">
        <v>0.1</v>
      </c>
      <c r="G56" s="29">
        <v>102.95659999999999</v>
      </c>
      <c r="H56" s="1"/>
      <c r="I56" s="1"/>
    </row>
    <row r="57" spans="1:9" x14ac:dyDescent="0.35">
      <c r="A57" s="28">
        <v>2070</v>
      </c>
      <c r="B57" s="28">
        <v>48</v>
      </c>
      <c r="C57" s="29">
        <v>0.34</v>
      </c>
      <c r="D57" s="29">
        <v>3</v>
      </c>
      <c r="E57" s="29">
        <v>96.6</v>
      </c>
      <c r="F57" s="30">
        <v>0.1</v>
      </c>
      <c r="G57" s="29">
        <v>106.2619</v>
      </c>
      <c r="H57" s="1"/>
      <c r="I57" s="1"/>
    </row>
    <row r="58" spans="1:9" x14ac:dyDescent="0.35">
      <c r="A58" s="28">
        <v>2071</v>
      </c>
      <c r="B58" s="28">
        <v>49</v>
      </c>
      <c r="C58" s="29">
        <v>0.34</v>
      </c>
      <c r="D58" s="29">
        <v>3</v>
      </c>
      <c r="E58" s="29">
        <v>99.61</v>
      </c>
      <c r="F58" s="30">
        <v>0.1</v>
      </c>
      <c r="G58" s="29">
        <v>109.5672</v>
      </c>
      <c r="H58" s="1"/>
      <c r="I58" s="1"/>
    </row>
    <row r="59" spans="1:9" x14ac:dyDescent="0.35">
      <c r="A59" s="28">
        <v>2072</v>
      </c>
      <c r="B59" s="28">
        <v>50</v>
      </c>
      <c r="C59" s="29">
        <v>0.34</v>
      </c>
      <c r="D59" s="29">
        <v>3</v>
      </c>
      <c r="E59" s="29">
        <v>102.61</v>
      </c>
      <c r="F59" s="30">
        <v>0.1</v>
      </c>
      <c r="G59" s="29">
        <v>112.87260000000001</v>
      </c>
      <c r="H59" s="1"/>
      <c r="I59" s="1"/>
    </row>
    <row r="60" spans="1:9" x14ac:dyDescent="0.35">
      <c r="A60" s="79"/>
      <c r="B60" s="79"/>
      <c r="C60" s="1"/>
      <c r="D60" s="1"/>
      <c r="E60" s="1"/>
      <c r="F60" s="1"/>
      <c r="G60" s="1"/>
      <c r="H60" s="1"/>
      <c r="I60" s="1"/>
    </row>
    <row r="61" spans="1:9" x14ac:dyDescent="0.35">
      <c r="A61" s="80" t="s">
        <v>129</v>
      </c>
      <c r="B61" s="80"/>
      <c r="C61" s="1"/>
      <c r="D61" s="1"/>
      <c r="E61" s="36">
        <v>5.0599999999999999E-2</v>
      </c>
      <c r="F61" s="1"/>
      <c r="G61" s="1"/>
      <c r="H61" s="1"/>
      <c r="I61" s="1"/>
    </row>
    <row r="62" spans="1:9" x14ac:dyDescent="0.35">
      <c r="A62" s="81"/>
      <c r="B62" s="81"/>
      <c r="C62" s="1" t="s">
        <v>130</v>
      </c>
      <c r="D62" s="1"/>
      <c r="E62" s="36">
        <v>5.0599999999999999E-2</v>
      </c>
      <c r="F62" s="1"/>
      <c r="G62" s="1"/>
      <c r="H62" s="1"/>
      <c r="I62" s="1"/>
    </row>
    <row r="63" spans="1:9" x14ac:dyDescent="0.35">
      <c r="A63" s="81"/>
      <c r="B63" s="81"/>
      <c r="C63" s="1" t="s">
        <v>131</v>
      </c>
      <c r="D63" s="1"/>
      <c r="E63" s="36">
        <v>4.1700000000000001E-2</v>
      </c>
      <c r="F63" s="1"/>
      <c r="G63" s="1"/>
      <c r="H63" s="1"/>
      <c r="I63" s="1"/>
    </row>
    <row r="64" spans="1:9" x14ac:dyDescent="0.35">
      <c r="A64" s="81"/>
      <c r="B64" s="81"/>
      <c r="C64" s="1" t="s">
        <v>132</v>
      </c>
      <c r="D64" s="1"/>
      <c r="E64" s="36">
        <v>0.02</v>
      </c>
      <c r="F64" s="1" t="s">
        <v>133</v>
      </c>
      <c r="G64" s="1"/>
      <c r="H64" s="1"/>
      <c r="I64" s="1"/>
    </row>
  </sheetData>
  <mergeCells count="14">
    <mergeCell ref="A64:B64"/>
    <mergeCell ref="A1:H1"/>
    <mergeCell ref="A2:H2"/>
    <mergeCell ref="A3:H3"/>
    <mergeCell ref="A4:H4"/>
    <mergeCell ref="A5:B5"/>
    <mergeCell ref="A6:A9"/>
    <mergeCell ref="B6:B9"/>
    <mergeCell ref="H6:H9"/>
    <mergeCell ref="I6:I9"/>
    <mergeCell ref="A60:B60"/>
    <mergeCell ref="A61:B61"/>
    <mergeCell ref="A62:B62"/>
    <mergeCell ref="A63:B6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92CB2859D7D498415A1DF7191F4FD" ma:contentTypeVersion="15" ma:contentTypeDescription="Create a new document." ma:contentTypeScope="" ma:versionID="3032244160d2ac7aae302c3667493e68">
  <xsd:schema xmlns:xsd="http://www.w3.org/2001/XMLSchema" xmlns:xs="http://www.w3.org/2001/XMLSchema" xmlns:p="http://schemas.microsoft.com/office/2006/metadata/properties" xmlns:ns2="e97b0ee8-9cf2-43d0-9aca-7e7f47880de2" xmlns:ns3="cde2e64c-3dd4-4497-9228-a435f4be0d55" xmlns:ns4="e02f8695-751b-4e1b-8622-bb2a27d1fb80" targetNamespace="http://schemas.microsoft.com/office/2006/metadata/properties" ma:root="true" ma:fieldsID="3f31e4aa62a25d8db70bf1195705b4d8" ns2:_="" ns3:_="" ns4:_="">
    <xsd:import namespace="e97b0ee8-9cf2-43d0-9aca-7e7f47880de2"/>
    <xsd:import namespace="cde2e64c-3dd4-4497-9228-a435f4be0d55"/>
    <xsd:import namespace="e02f8695-751b-4e1b-8622-bb2a27d1fb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ee8-9cf2-43d0-9aca-7e7f47880d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2e64c-3dd4-4497-9228-a435f4be0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0328ba-87b0-44af-ba53-973dd843e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f8695-751b-4e1b-8622-bb2a27d1fb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8f06841-d8a1-4429-8dbe-c9c14dc438ac}" ma:internalName="TaxCatchAll" ma:showField="CatchAllData" ma:web="e02f8695-751b-4e1b-8622-bb2a27d1f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e2e64c-3dd4-4497-9228-a435f4be0d55">
      <Terms xmlns="http://schemas.microsoft.com/office/infopath/2007/PartnerControls"/>
    </lcf76f155ced4ddcb4097134ff3c332f>
    <TaxCatchAll xmlns="e02f8695-751b-4e1b-8622-bb2a27d1fb80" xsi:nil="true"/>
  </documentManagement>
</p:properties>
</file>

<file path=customXml/itemProps1.xml><?xml version="1.0" encoding="utf-8"?>
<ds:datastoreItem xmlns:ds="http://schemas.openxmlformats.org/officeDocument/2006/customXml" ds:itemID="{1BC5ABEE-7E29-41BE-A220-2E0C81C093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BB6A28-19E0-41A2-B2D5-318FF5A2F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b0ee8-9cf2-43d0-9aca-7e7f47880de2"/>
    <ds:schemaRef ds:uri="cde2e64c-3dd4-4497-9228-a435f4be0d55"/>
    <ds:schemaRef ds:uri="e02f8695-751b-4e1b-8622-bb2a27d1fb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39CF0A-B827-4116-8E80-C8F6F6265597}">
  <ds:schemaRefs>
    <ds:schemaRef ds:uri="http://schemas.microsoft.com/office/2006/metadata/properties"/>
    <ds:schemaRef ds:uri="http://schemas.microsoft.com/office/infopath/2007/PartnerControls"/>
    <ds:schemaRef ds:uri="cde2e64c-3dd4-4497-9228-a435f4be0d55"/>
    <ds:schemaRef ds:uri="e02f8695-751b-4e1b-8622-bb2a27d1fb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Totals</vt:lpstr>
      <vt:lpstr>APP 2885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Albert, Jodie</dc:creator>
  <cp:keywords/>
  <dc:description/>
  <cp:lastModifiedBy>Albert, Jodie</cp:lastModifiedBy>
  <cp:revision/>
  <dcterms:created xsi:type="dcterms:W3CDTF">2025-04-17T16:39:06Z</dcterms:created>
  <dcterms:modified xsi:type="dcterms:W3CDTF">2025-06-10T18:28:12Z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2025-04-22T22:58:15Z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414c7e33-60bd-4d5d-bc7f-1ec301cf134d</vt:lpwstr>
  </property>
  <property fmtid="{D5CDD505-2E9C-101B-9397-08002B2CF9AE}" pid="8" name="MSIP_Label_1da8032d-c4fe-48b8-9054-92634c9ea061_ContentBits">
    <vt:lpwstr>0</vt:lpwstr>
  </property>
  <property fmtid="{D5CDD505-2E9C-101B-9397-08002B2CF9AE}" pid="9" name="MSIP_Label_1da8032d-c4fe-48b8-9054-92634c9ea061_Tag">
    <vt:lpwstr>10, 3, 0, 1</vt:lpwstr>
  </property>
  <property fmtid="{D5CDD505-2E9C-101B-9397-08002B2CF9AE}" pid="10" name="ContentTypeId">
    <vt:lpwstr>0x01010019392CB2859D7D498415A1DF7191F4FD</vt:lpwstr>
  </property>
  <property fmtid="{D5CDD505-2E9C-101B-9397-08002B2CF9AE}" pid="11" name="MediaServiceImageTags">
    <vt:lpwstr/>
  </property>
</Properties>
</file>