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E27586F4-0FEA-496F-92B7-C6CEFEB3B4CD}" xr6:coauthVersionLast="47" xr6:coauthVersionMax="47" xr10:uidLastSave="{00000000-0000-0000-0000-000000000000}"/>
  <bookViews>
    <workbookView xWindow="-28920" yWindow="-120" windowWidth="29040" windowHeight="15720" activeTab="5" xr2:uid="{FC778165-239F-48A7-B5DD-090D37EC2404}"/>
  </bookViews>
  <sheets>
    <sheet name="Savings Potential" sheetId="13" r:id="rId1"/>
    <sheet name="Table 1" sheetId="21" r:id="rId2"/>
    <sheet name="Table 2" sheetId="22" r:id="rId3"/>
    <sheet name="Appendix Table 2 details" sheetId="23" r:id="rId4"/>
    <sheet name="Table 3" sheetId="5" r:id="rId5"/>
    <sheet name="Table 4" sheetId="24" r:id="rId6"/>
    <sheet name="Table 5" sheetId="15" r:id="rId7"/>
    <sheet name="Table 6" sheetId="18" r:id="rId8"/>
    <sheet name="Table 7" sheetId="19" r:id="rId9"/>
  </sheets>
  <definedNames>
    <definedName name="_Hlk53425096" localSheetId="8">'Table 7'!#REF!</definedName>
    <definedName name="_Hlk53425129" localSheetId="8">'Table 7'!#REF!</definedName>
    <definedName name="_Toc83807174" localSheetId="6">'Table 5'!$A$1</definedName>
    <definedName name="_Toc83807177" localSheetId="7">'Table 6'!$A$1</definedName>
    <definedName name="_Toc83807180" localSheetId="8">'Table 7'!#REF!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3" l="1"/>
  <c r="D6" i="21"/>
  <c r="D14" i="22"/>
  <c r="I17" i="23"/>
  <c r="H7" i="21"/>
  <c r="D7" i="21"/>
  <c r="F26" i="24"/>
  <c r="F14" i="24"/>
  <c r="I18" i="23"/>
  <c r="I54" i="23"/>
  <c r="J28" i="23"/>
  <c r="J61" i="23"/>
  <c r="I14" i="23"/>
  <c r="E8" i="24" s="1"/>
  <c r="G8" i="21"/>
  <c r="K8" i="21" s="1"/>
  <c r="J71" i="23"/>
  <c r="J69" i="23"/>
  <c r="J68" i="23"/>
  <c r="J66" i="23"/>
  <c r="J65" i="23"/>
  <c r="J64" i="23"/>
  <c r="J63" i="23"/>
  <c r="I59" i="23"/>
  <c r="C45" i="23"/>
  <c r="I48" i="23"/>
  <c r="D20" i="24" s="1"/>
  <c r="F13" i="24"/>
  <c r="F12" i="24"/>
  <c r="I8" i="23"/>
  <c r="D8" i="24" s="1"/>
  <c r="F8" i="24" s="1"/>
  <c r="F19" i="22"/>
  <c r="I76" i="23" s="1"/>
  <c r="F25" i="24" s="1"/>
  <c r="F17" i="22"/>
  <c r="I74" i="23" s="1"/>
  <c r="F23" i="24" s="1"/>
  <c r="K10" i="21"/>
  <c r="F18" i="22" s="1"/>
  <c r="I75" i="23" s="1"/>
  <c r="F24" i="24" s="1"/>
  <c r="E44" i="23"/>
  <c r="E6" i="21" s="1"/>
  <c r="I13" i="23" s="1"/>
  <c r="E7" i="24" s="1"/>
  <c r="F44" i="23"/>
  <c r="I46" i="23"/>
  <c r="I47" i="23"/>
  <c r="D19" i="24" s="1"/>
  <c r="F14" i="22"/>
  <c r="I57" i="23" s="1"/>
  <c r="D13" i="22"/>
  <c r="J22" i="23"/>
  <c r="I20" i="23" s="1"/>
  <c r="J31" i="23"/>
  <c r="J67" i="23"/>
  <c r="I35" i="23"/>
  <c r="F11" i="24" s="1"/>
  <c r="I7" i="23"/>
  <c r="D7" i="24" s="1"/>
  <c r="F7" i="24" s="1"/>
  <c r="I6" i="23"/>
  <c r="D6" i="24" s="1"/>
  <c r="I49" i="23"/>
  <c r="I72" i="23" s="1"/>
  <c r="I9" i="23"/>
  <c r="I33" i="23" s="1"/>
  <c r="L11" i="21"/>
  <c r="L10" i="21"/>
  <c r="L9" i="21"/>
  <c r="L8" i="21"/>
  <c r="H19" i="22"/>
  <c r="H18" i="22"/>
  <c r="H17" i="22"/>
  <c r="H14" i="22"/>
  <c r="H8" i="22"/>
  <c r="H7" i="22"/>
  <c r="F9" i="22"/>
  <c r="F16" i="22" s="1"/>
  <c r="J70" i="23" l="1"/>
  <c r="I68" i="23" s="1"/>
  <c r="I29" i="23"/>
  <c r="J62" i="23"/>
  <c r="I60" i="23" s="1"/>
  <c r="E20" i="24"/>
  <c r="F20" i="24" s="1"/>
  <c r="D18" i="24"/>
  <c r="F45" i="23"/>
  <c r="E45" i="23"/>
  <c r="I6" i="21" s="1"/>
  <c r="G6" i="21"/>
  <c r="K7" i="21"/>
  <c r="G7" i="21"/>
  <c r="L7" i="21" s="1"/>
  <c r="D9" i="22"/>
  <c r="H6" i="22"/>
  <c r="I73" i="23" l="1"/>
  <c r="I53" i="23"/>
  <c r="F13" i="22"/>
  <c r="H13" i="22" s="1"/>
  <c r="D12" i="22"/>
  <c r="D15" i="22" s="1"/>
  <c r="I12" i="23"/>
  <c r="E6" i="24" s="1"/>
  <c r="H6" i="21"/>
  <c r="K6" i="21"/>
  <c r="L6" i="21" s="1"/>
  <c r="I52" i="23"/>
  <c r="E18" i="24" s="1"/>
  <c r="F12" i="22"/>
  <c r="F15" i="22" s="1"/>
  <c r="I15" i="23"/>
  <c r="D16" i="22"/>
  <c r="D20" i="22" s="1"/>
  <c r="H9" i="22"/>
  <c r="E19" i="24" l="1"/>
  <c r="F19" i="24" s="1"/>
  <c r="F6" i="24"/>
  <c r="F9" i="24"/>
  <c r="E10" i="24"/>
  <c r="I55" i="23"/>
  <c r="H12" i="22"/>
  <c r="H16" i="22"/>
  <c r="F15" i="24" l="1"/>
  <c r="D10" i="24"/>
  <c r="F18" i="24"/>
  <c r="F21" i="24" s="1"/>
  <c r="D28" i="24" s="1"/>
  <c r="E22" i="24"/>
  <c r="F20" i="22"/>
  <c r="H20" i="22" s="1"/>
  <c r="H15" i="22"/>
  <c r="F27" i="24" l="1"/>
  <c r="E28" i="24"/>
  <c r="D22" i="24"/>
  <c r="I34" i="23" l="1"/>
  <c r="I38" i="23"/>
  <c r="I77" i="23"/>
</calcChain>
</file>

<file path=xl/sharedStrings.xml><?xml version="1.0" encoding="utf-8"?>
<sst xmlns="http://schemas.openxmlformats.org/spreadsheetml/2006/main" count="387" uniqueCount="248">
  <si>
    <r>
      <t>Figure 7: DSM Forecast by Potential Calculation</t>
    </r>
    <r>
      <rPr>
        <sz val="9"/>
        <color rgb="FF000000"/>
        <rFont val="Arial"/>
        <family val="2"/>
      </rPr>
      <t> </t>
    </r>
  </si>
  <si>
    <r>
      <t>Figure 8: Cumulative UCT Achievable Economic Potential by Sector</t>
    </r>
    <r>
      <rPr>
        <sz val="9"/>
        <color rgb="FF000000"/>
        <rFont val="Arial"/>
        <family val="2"/>
      </rPr>
      <t> </t>
    </r>
  </si>
  <si>
    <t>Table 1: EEIP Goals 2026 &amp; 2027</t>
  </si>
  <si>
    <t>Calendar Year 2026</t>
  </si>
  <si>
    <t>Calendar Year 2027</t>
  </si>
  <si>
    <t>Biennial Totals</t>
  </si>
  <si>
    <t>Residential</t>
  </si>
  <si>
    <t>C/I</t>
  </si>
  <si>
    <t>Low Income</t>
  </si>
  <si>
    <t xml:space="preserve"> 1st year Total</t>
  </si>
  <si>
    <t>2nd year  Totals</t>
  </si>
  <si>
    <r>
      <t>Cascade Admin Budget</t>
    </r>
    <r>
      <rPr>
        <b/>
        <vertAlign val="superscript"/>
        <sz val="8"/>
        <color theme="1"/>
        <rFont val="Arial"/>
        <family val="2"/>
      </rPr>
      <t>1</t>
    </r>
  </si>
  <si>
    <r>
      <t>Therm Targets</t>
    </r>
    <r>
      <rPr>
        <b/>
        <vertAlign val="superscript"/>
        <sz val="8"/>
        <color theme="1"/>
        <rFont val="Arial"/>
        <family val="2"/>
      </rPr>
      <t>2</t>
    </r>
  </si>
  <si>
    <t>NEEA Natural Gas Market Transformation</t>
  </si>
  <si>
    <t>Regional Technical Forum</t>
  </si>
  <si>
    <t>Evaluation, Measurement &amp; Verification</t>
  </si>
  <si>
    <t>Conservation Potential Assessment</t>
  </si>
  <si>
    <r>
      <t>1</t>
    </r>
    <r>
      <rPr>
        <i/>
        <sz val="9"/>
        <color theme="1"/>
        <rFont val="Arial"/>
        <family val="2"/>
      </rPr>
      <t xml:space="preserve"> Budgets in this table are estimates and refer to administrative costs for program implementation, not rebates </t>
    </r>
  </si>
  <si>
    <r>
      <rPr>
        <i/>
        <vertAlign val="superscript"/>
        <sz val="9"/>
        <color rgb="FF000000"/>
        <rFont val="Arial"/>
      </rPr>
      <t>2</t>
    </r>
    <r>
      <rPr>
        <i/>
        <sz val="9"/>
        <color rgb="FF000000"/>
        <rFont val="Arial"/>
      </rPr>
      <t xml:space="preserve"> Therm targets have been developed with VisionLoadMAP through the 2025 CPA</t>
    </r>
  </si>
  <si>
    <t>Table 2: Program Budgets</t>
  </si>
  <si>
    <t>Program Budgets 2026-2027</t>
  </si>
  <si>
    <t>Incentive Estimates</t>
  </si>
  <si>
    <t>Program</t>
  </si>
  <si>
    <t>CY 2026</t>
  </si>
  <si>
    <t>CY 2027</t>
  </si>
  <si>
    <t>BIENNIUM</t>
  </si>
  <si>
    <t>Commercial/Industrial</t>
  </si>
  <si>
    <t>Total Incentives</t>
  </si>
  <si>
    <t>Non-Incentive/CNGC Program Implementation Expenses</t>
  </si>
  <si>
    <t>Portfolio Admin Total</t>
  </si>
  <si>
    <t>Total Incentives (from above)</t>
  </si>
  <si>
    <t>Regional Collaboration</t>
  </si>
  <si>
    <t>Conservation Potential Assessment (CY 2026/2027)</t>
  </si>
  <si>
    <t>Total Portfolio Expense</t>
  </si>
  <si>
    <t>2026 Program Budgets</t>
  </si>
  <si>
    <t>Budget</t>
  </si>
  <si>
    <t>Allocated as DBtC</t>
  </si>
  <si>
    <t>Notes</t>
  </si>
  <si>
    <t>√</t>
  </si>
  <si>
    <t>See Residential section</t>
  </si>
  <si>
    <t>See Com/Ind section</t>
  </si>
  <si>
    <t>See LI Section</t>
  </si>
  <si>
    <t>Staff, software, marketing</t>
  </si>
  <si>
    <t>C/I vendor, marketing, staff</t>
  </si>
  <si>
    <t>Staff, Implementation</t>
  </si>
  <si>
    <t>Residential, Com/Ind, &amp; LI</t>
  </si>
  <si>
    <t>Portfolio Admin Expenses Breakout:</t>
  </si>
  <si>
    <t>Labor</t>
  </si>
  <si>
    <t>Staff allocated 70% residential/ 30% Commercial/ Industrial, Low-income + temporary staff</t>
  </si>
  <si>
    <t>Third Party Commercial/ Industrial Program Mgmt.</t>
  </si>
  <si>
    <r>
      <t xml:space="preserve">Implementation, rebate processing, </t>
    </r>
    <r>
      <rPr>
        <sz val="9"/>
        <rFont val="Arial"/>
        <family val="2"/>
      </rPr>
      <t>pilots</t>
    </r>
    <r>
      <rPr>
        <sz val="9"/>
        <color theme="1"/>
        <rFont val="Arial"/>
        <family val="2"/>
      </rPr>
      <t>, outreach for C/I, total for contractor is dependent on vendor goal achievement</t>
    </r>
  </si>
  <si>
    <t>Annual Software fees</t>
  </si>
  <si>
    <t>Residential &amp; Low-Income rebate processing, TA Program, program updates,</t>
  </si>
  <si>
    <t>Outreach / Trade Ally / Quality Control</t>
  </si>
  <si>
    <t>Breakdown</t>
  </si>
  <si>
    <t>LI Weatherization outreach</t>
  </si>
  <si>
    <t>Residential Inspections</t>
  </si>
  <si>
    <t>Customer Resolution</t>
  </si>
  <si>
    <t>Trade Ally support</t>
  </si>
  <si>
    <t>Low Income Pilot</t>
  </si>
  <si>
    <t>Residential Pilots</t>
  </si>
  <si>
    <t>Professional dues, and memberships</t>
  </si>
  <si>
    <t>Residential outreach: campaigns, web, postage, promotional materials</t>
  </si>
  <si>
    <t>Other</t>
  </si>
  <si>
    <t>Reference Materials</t>
  </si>
  <si>
    <t>Travel</t>
  </si>
  <si>
    <t>Professional development</t>
  </si>
  <si>
    <t>Office supplies</t>
  </si>
  <si>
    <t xml:space="preserve">Portfolio Admin Total (Included from above) </t>
  </si>
  <si>
    <t>Non-Incentive/Admin Expenses</t>
  </si>
  <si>
    <t>NEEA  &amp; RTF (excluded from DBtC)</t>
  </si>
  <si>
    <t>EM&amp;V - Third Party measure assessment annually</t>
  </si>
  <si>
    <t>`</t>
  </si>
  <si>
    <t>Total Program Expense</t>
  </si>
  <si>
    <t>Full program costs</t>
  </si>
  <si>
    <t>Projected Labor 26-27</t>
  </si>
  <si>
    <t>residential and low income</t>
  </si>
  <si>
    <t>2027 Program Budget Estimates*</t>
  </si>
  <si>
    <t>3% IRP inflation 2025</t>
  </si>
  <si>
    <t>Trade Ally support &amp; auditing</t>
  </si>
  <si>
    <t>Outreach: campaigns, web</t>
  </si>
  <si>
    <t>RFP New Conservation Potential Assessment</t>
  </si>
  <si>
    <t>*2027 Subject to change based on Annual Conservation Plan update</t>
  </si>
  <si>
    <t>Table 3: Direct Benefit to Customer Expenses</t>
  </si>
  <si>
    <t>Cascade Natural Gas – 2026/2027 DBtC Category Clarifications</t>
  </si>
  <si>
    <t>Direct Benefit</t>
  </si>
  <si>
    <t>Program Delivery (Not included in DBtC)</t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</si>
  <si>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Rebate payments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</si>
  <si>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Labor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</si>
  <si>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QC Inspections</t>
    </r>
  </si>
  <si>
    <r>
      <rPr>
        <sz val="10"/>
        <color rgb="FF000000"/>
        <rFont val="Wingdings"/>
      </rPr>
      <t>ü</t>
    </r>
    <r>
      <rPr>
        <sz val="7"/>
        <color rgb="FF000000"/>
        <rFont val="Times New Roman"/>
      </rPr>
      <t xml:space="preserve">  </t>
    </r>
    <r>
      <rPr>
        <sz val="10"/>
        <color rgb="FF000000"/>
        <rFont val="Arial"/>
      </rPr>
      <t>TA program materials &amp; outreach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</si>
  <si>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Local energy program partnerships promoting the EEIP by assisting customers with rebates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</si>
  <si>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Cooperative marketing &amp; training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</si>
  <si>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Customer service resolution</t>
    </r>
  </si>
  <si>
    <r>
      <rPr>
        <sz val="10"/>
        <color rgb="FF000000"/>
        <rFont val="Wingdings"/>
      </rPr>
      <t>ü</t>
    </r>
    <r>
      <rPr>
        <sz val="7"/>
        <color rgb="FF000000"/>
        <rFont val="Times New Roman"/>
      </rPr>
      <t xml:space="preserve">  </t>
    </r>
    <r>
      <rPr>
        <sz val="10"/>
        <color rgb="FF000000"/>
        <rFont val="Arial"/>
      </rPr>
      <t>Pilot Projects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</si>
  <si>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Bundled measure promotions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</si>
  <si>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Residential EEIP ad placement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</si>
  <si>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Software access fees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</si>
  <si>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Industry appropriate organizational dues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</si>
  <si>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Travel expenses for program delivery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</si>
  <si>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Seminar and training attendance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</si>
  <si>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Miscellaneous operating expenses</t>
    </r>
  </si>
  <si>
    <t>Commercial &amp; Industrial</t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</si>
  <si>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Rebate Payments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</si>
  <si>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Third party program management inclusive of commercial marketing efforts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</si>
  <si>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 xml:space="preserve">Partnerships with local energy programs promoting the EEIP through customer engagement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</si>
  <si>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 xml:space="preserve">Internal staffing &amp; oversight from CNGC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</si>
  <si>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Industry specific Trade organization dues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</si>
  <si>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Travel expenses for program delivery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</si>
  <si>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 xml:space="preserve">Seminar and training attendance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</si>
  <si>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Promotional giveaways</t>
    </r>
  </si>
  <si>
    <r>
      <rPr>
        <sz val="10"/>
        <color rgb="FF000000"/>
        <rFont val="Wingdings"/>
      </rPr>
      <t>ü</t>
    </r>
    <r>
      <rPr>
        <sz val="7"/>
        <color rgb="FF000000"/>
        <rFont val="Times New Roman"/>
      </rPr>
      <t xml:space="preserve">  </t>
    </r>
    <r>
      <rPr>
        <sz val="10"/>
        <color rgb="FF000000"/>
        <rFont val="Arial"/>
      </rPr>
      <t>Miscellaneous operating expenses</t>
    </r>
  </si>
  <si>
    <t>Low income</t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</si>
  <si>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Rebates for weatherization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</si>
  <si>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 xml:space="preserve">CNGC labor for program administration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</si>
  <si>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 xml:space="preserve">Agency customer outreach </t>
    </r>
  </si>
  <si>
    <r>
      <t>ü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Agency indirect rates and administration fee</t>
    </r>
  </si>
  <si>
    <t>Table 4: DBtC</t>
  </si>
  <si>
    <t xml:space="preserve">DBtC - Cascade Natural Gas 2026 Conservation Budget </t>
  </si>
  <si>
    <t>Direct Benefit to Customers</t>
  </si>
  <si>
    <t>Other Costs</t>
  </si>
  <si>
    <t>Total Utility Costs</t>
  </si>
  <si>
    <t>Non-residential</t>
  </si>
  <si>
    <t>Portfolio Ratio</t>
  </si>
  <si>
    <t>NEEA / RTF</t>
  </si>
  <si>
    <t>EM&amp;V</t>
  </si>
  <si>
    <t>CPA</t>
  </si>
  <si>
    <t>Pilots</t>
  </si>
  <si>
    <t>Total 2026 Program Expense</t>
  </si>
  <si>
    <t xml:space="preserve">DBtC - Cascade Natural Gas 2027 Conservation Budget </t>
  </si>
  <si>
    <t>Total 2027 Program Expense</t>
  </si>
  <si>
    <t xml:space="preserve">Biennial Totals: </t>
  </si>
  <si>
    <t xml:space="preserve">*For gas programs, NEEA, EM&amp;V, and the CPA are excluded from DBtC </t>
  </si>
  <si>
    <t>Table 5: Service Territory Climate Zones</t>
  </si>
  <si>
    <t>Washington Conservation Climate Zones by District</t>
  </si>
  <si>
    <t>Zone 1</t>
  </si>
  <si>
    <t>Zone 2</t>
  </si>
  <si>
    <t>Zone 3</t>
  </si>
  <si>
    <t>Bellingham</t>
  </si>
  <si>
    <t>Aberdeen</t>
  </si>
  <si>
    <t>Sunnyside</t>
  </si>
  <si>
    <t>Mount Vernon</t>
  </si>
  <si>
    <t>Bremerton</t>
  </si>
  <si>
    <t>Tri-Cities</t>
  </si>
  <si>
    <t>Longview</t>
  </si>
  <si>
    <t>Walla Walla</t>
  </si>
  <si>
    <t>Wenatchee</t>
  </si>
  <si>
    <t>Yakima</t>
  </si>
  <si>
    <t>Table 6: Weatherization Incentive Program Participation Levels &amp; Savings by Year</t>
  </si>
  <si>
    <r>
      <t>Year</t>
    </r>
    <r>
      <rPr>
        <sz val="11"/>
        <color rgb="FFFFFFFF"/>
        <rFont val="Aptos"/>
        <family val="2"/>
      </rPr>
      <t> </t>
    </r>
  </si>
  <si>
    <r>
      <t>Number of Homes Served</t>
    </r>
    <r>
      <rPr>
        <sz val="11"/>
        <color rgb="FFFFFFFF"/>
        <rFont val="Aptos"/>
        <family val="2"/>
      </rPr>
      <t> </t>
    </r>
  </si>
  <si>
    <r>
      <t>Therm Savings</t>
    </r>
    <r>
      <rPr>
        <sz val="11"/>
        <color rgb="FFFFFFFF"/>
        <rFont val="Aptos"/>
        <family val="2"/>
      </rPr>
      <t> </t>
    </r>
  </si>
  <si>
    <r>
      <t>Total Funds Paid Out to Agencies</t>
    </r>
    <r>
      <rPr>
        <sz val="11"/>
        <color rgb="FFFFFFFF"/>
        <rFont val="Aptos"/>
        <family val="2"/>
      </rPr>
      <t> </t>
    </r>
  </si>
  <si>
    <r>
      <t>Average Rebate Per Home</t>
    </r>
    <r>
      <rPr>
        <sz val="11"/>
        <color rgb="FFFFFFFF"/>
        <rFont val="Aptos"/>
        <family val="2"/>
      </rPr>
      <t> </t>
    </r>
  </si>
  <si>
    <r>
      <t>Avoided Cost Per Therm Paid for 30-Year Measures</t>
    </r>
    <r>
      <rPr>
        <sz val="11"/>
        <color rgb="FFFFFFFF"/>
        <rFont val="Aptos"/>
        <family val="2"/>
      </rPr>
      <t> </t>
    </r>
  </si>
  <si>
    <r>
      <t>2008</t>
    </r>
    <r>
      <rPr>
        <sz val="11"/>
        <color rgb="FF000000"/>
        <rFont val="Aptos"/>
        <family val="2"/>
      </rPr>
      <t> </t>
    </r>
  </si>
  <si>
    <t>46 </t>
  </si>
  <si>
    <t>13,985 </t>
  </si>
  <si>
    <t>$101,631  </t>
  </si>
  <si>
    <t>$2,209  </t>
  </si>
  <si>
    <t>$13.06  </t>
  </si>
  <si>
    <r>
      <t>2009</t>
    </r>
    <r>
      <rPr>
        <sz val="11"/>
        <color rgb="FF000000"/>
        <rFont val="Aptos"/>
        <family val="2"/>
      </rPr>
      <t> </t>
    </r>
  </si>
  <si>
    <t>55 </t>
  </si>
  <si>
    <t>14,733 </t>
  </si>
  <si>
    <t>$168,378  </t>
  </si>
  <si>
    <t>$3,061  </t>
  </si>
  <si>
    <r>
      <t>2010</t>
    </r>
    <r>
      <rPr>
        <sz val="11"/>
        <color rgb="FF000000"/>
        <rFont val="Aptos"/>
        <family val="2"/>
      </rPr>
      <t> </t>
    </r>
  </si>
  <si>
    <t>112 </t>
  </si>
  <si>
    <t>30,809 </t>
  </si>
  <si>
    <t>$358,316  </t>
  </si>
  <si>
    <t>$3,199  </t>
  </si>
  <si>
    <r>
      <t>2011</t>
    </r>
    <r>
      <rPr>
        <sz val="11"/>
        <color rgb="FF000000"/>
        <rFont val="Aptos"/>
        <family val="2"/>
      </rPr>
      <t> </t>
    </r>
  </si>
  <si>
    <t>85 </t>
  </si>
  <si>
    <t>24,130 </t>
  </si>
  <si>
    <t>$251,248  </t>
  </si>
  <si>
    <t>$2,991  </t>
  </si>
  <si>
    <t>$11.66  </t>
  </si>
  <si>
    <r>
      <t>2012</t>
    </r>
    <r>
      <rPr>
        <sz val="11"/>
        <color rgb="FF000000"/>
        <rFont val="Aptos"/>
        <family val="2"/>
      </rPr>
      <t> </t>
    </r>
  </si>
  <si>
    <t>64 </t>
  </si>
  <si>
    <t>21,824 </t>
  </si>
  <si>
    <t>$233,162  </t>
  </si>
  <si>
    <t>$3,643  </t>
  </si>
  <si>
    <r>
      <t>2013</t>
    </r>
    <r>
      <rPr>
        <sz val="11"/>
        <color rgb="FF000000"/>
        <rFont val="Aptos"/>
        <family val="2"/>
      </rPr>
      <t> </t>
    </r>
  </si>
  <si>
    <t>38 </t>
  </si>
  <si>
    <t>14,960 </t>
  </si>
  <si>
    <t>$132,882  </t>
  </si>
  <si>
    <t>$3,497  </t>
  </si>
  <si>
    <t>$8.09  </t>
  </si>
  <si>
    <r>
      <t>2014</t>
    </r>
    <r>
      <rPr>
        <sz val="11"/>
        <color rgb="FF000000"/>
        <rFont val="Aptos"/>
        <family val="2"/>
      </rPr>
      <t> </t>
    </r>
  </si>
  <si>
    <t>21 </t>
  </si>
  <si>
    <t>7,338 </t>
  </si>
  <si>
    <t>$54,374  </t>
  </si>
  <si>
    <t>$2,589  </t>
  </si>
  <si>
    <r>
      <t>2015</t>
    </r>
    <r>
      <rPr>
        <sz val="11"/>
        <color rgb="FF000000"/>
        <rFont val="Aptos"/>
        <family val="2"/>
      </rPr>
      <t> </t>
    </r>
  </si>
  <si>
    <t>19 </t>
  </si>
  <si>
    <t>11,724 </t>
  </si>
  <si>
    <t>$89,508  </t>
  </si>
  <si>
    <t>$4,711  </t>
  </si>
  <si>
    <r>
      <t>2016</t>
    </r>
    <r>
      <rPr>
        <sz val="11"/>
        <color rgb="FF000000"/>
        <rFont val="Aptos"/>
        <family val="2"/>
      </rPr>
      <t> </t>
    </r>
  </si>
  <si>
    <t>24 </t>
  </si>
  <si>
    <t>11,743 </t>
  </si>
  <si>
    <t>$87,065  </t>
  </si>
  <si>
    <t>$3,628  </t>
  </si>
  <si>
    <r>
      <t>2017</t>
    </r>
    <r>
      <rPr>
        <sz val="11"/>
        <color rgb="FF000000"/>
        <rFont val="Aptos"/>
        <family val="2"/>
      </rPr>
      <t> </t>
    </r>
  </si>
  <si>
    <t>27 </t>
  </si>
  <si>
    <t>5,564 </t>
  </si>
  <si>
    <t>$165,935  </t>
  </si>
  <si>
    <t>$6,146  </t>
  </si>
  <si>
    <r>
      <t>2018</t>
    </r>
    <r>
      <rPr>
        <sz val="11"/>
        <color rgb="FF000000"/>
        <rFont val="Aptos"/>
        <family val="2"/>
      </rPr>
      <t> </t>
    </r>
  </si>
  <si>
    <t>28 </t>
  </si>
  <si>
    <t>5181 </t>
  </si>
  <si>
    <t>$234,667  </t>
  </si>
  <si>
    <t>$8,381  </t>
  </si>
  <si>
    <t>$18.77  </t>
  </si>
  <si>
    <r>
      <t>2019</t>
    </r>
    <r>
      <rPr>
        <sz val="11"/>
        <color rgb="FF000000"/>
        <rFont val="Aptos"/>
        <family val="2"/>
      </rPr>
      <t> </t>
    </r>
  </si>
  <si>
    <t>66 </t>
  </si>
  <si>
    <t>13,416 </t>
  </si>
  <si>
    <t>$910,314  </t>
  </si>
  <si>
    <t>$13,793  </t>
  </si>
  <si>
    <t>$30.98  </t>
  </si>
  <si>
    <r>
      <t>2020*</t>
    </r>
    <r>
      <rPr>
        <sz val="11"/>
        <color rgb="FF000000"/>
        <rFont val="Aptos"/>
        <family val="2"/>
      </rPr>
      <t> </t>
    </r>
  </si>
  <si>
    <t>8,125 </t>
  </si>
  <si>
    <t>$552,684  </t>
  </si>
  <si>
    <t>$14,544  </t>
  </si>
  <si>
    <t>5 </t>
  </si>
  <si>
    <t>1,088 </t>
  </si>
  <si>
    <t>$86,785  </t>
  </si>
  <si>
    <t>$17,357  </t>
  </si>
  <si>
    <t>$24.85  </t>
  </si>
  <si>
    <r>
      <t>2021</t>
    </r>
    <r>
      <rPr>
        <sz val="11"/>
        <color rgb="FF000000"/>
        <rFont val="Aptos"/>
        <family val="2"/>
      </rPr>
      <t> </t>
    </r>
  </si>
  <si>
    <t>37 </t>
  </si>
  <si>
    <t>8,265 </t>
  </si>
  <si>
    <t>$663,762  </t>
  </si>
  <si>
    <t>$17,940  </t>
  </si>
  <si>
    <r>
      <t>2022*</t>
    </r>
    <r>
      <rPr>
        <sz val="11"/>
        <color rgb="FF000000"/>
        <rFont val="Aptos"/>
        <family val="2"/>
      </rPr>
      <t> </t>
    </r>
  </si>
  <si>
    <t>22 </t>
  </si>
  <si>
    <t>4,524 </t>
  </si>
  <si>
    <t>$318,782  </t>
  </si>
  <si>
    <t>$14,490  </t>
  </si>
  <si>
    <t>14 </t>
  </si>
  <si>
    <t>3,163 </t>
  </si>
  <si>
    <t>$204,396  </t>
  </si>
  <si>
    <t>$14,600  </t>
  </si>
  <si>
    <t>$30.98 </t>
  </si>
  <si>
    <t>Table 7: NEEA Annual Cost Commitment</t>
  </si>
  <si>
    <t>Year</t>
  </si>
  <si>
    <t xml:space="preserve">CNGC Washington Commitment </t>
  </si>
  <si>
    <t>Cycle 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</si>
</sst>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</font>
    <font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4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color theme="1"/>
      <name val="Times New Roman"/>
      <family val="1"/>
    </font>
    <font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vertAlign val="superscript"/>
      <sz val="9"/>
      <color theme="1"/>
      <name val="Arial"/>
      <family val="2"/>
    </font>
    <font>
      <i/>
      <vertAlign val="superscript"/>
      <sz val="9"/>
      <color rgb="FF000000"/>
      <name val="Arial"/>
    </font>
    <font>
      <i/>
      <sz val="9"/>
      <color rgb="FF000000"/>
      <name val="Arial"/>
    </font>
    <font>
      <b/>
      <u/>
      <sz val="11"/>
      <color theme="1"/>
      <name val="Calibri"/>
      <family val="2"/>
      <scheme val="minor"/>
    </font>
    <font>
      <sz val="11"/>
      <color rgb="FFFFFFFF"/>
      <name val="Aptos"/>
      <family val="2"/>
    </font>
    <font>
      <b/>
      <sz val="11"/>
      <color rgb="FFFFFFFF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9"/>
      <color rgb="FF000000"/>
      <name val="Arial"/>
    </font>
    <font>
      <b/>
      <sz val="9"/>
      <color theme="1"/>
      <name val="Calibri"/>
    </font>
    <font>
      <sz val="9"/>
      <name val="Arial"/>
    </font>
    <font>
      <i/>
      <sz val="9"/>
      <color theme="1"/>
      <name val="Arial"/>
    </font>
    <font>
      <b/>
      <i/>
      <sz val="9"/>
      <color theme="1"/>
      <name val="Arial"/>
    </font>
    <font>
      <sz val="10"/>
      <color rgb="FF000000"/>
      <name val="Wingdings"/>
    </font>
    <font>
      <sz val="7"/>
      <color rgb="FF000000"/>
      <name val="Times New Roman"/>
    </font>
    <font>
      <sz val="10"/>
      <color rgb="FF000000"/>
      <name val="Arial"/>
    </font>
  </fonts>
  <fills count="23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4DB0C7"/>
        <bgColor indexed="64"/>
      </patternFill>
    </fill>
    <fill>
      <patternFill patternType="solid">
        <fgColor rgb="FF15608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1" fillId="8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0" xfId="0" applyFont="1"/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8" fillId="0" borderId="0" xfId="0" applyFont="1"/>
    <xf numFmtId="165" fontId="28" fillId="0" borderId="0" xfId="0" applyNumberFormat="1" applyFont="1"/>
    <xf numFmtId="0" fontId="14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5" fillId="0" borderId="0" xfId="3" applyFill="1" applyBorder="1" applyAlignment="1">
      <alignment horizontal="center" vertical="center" wrapText="1"/>
    </xf>
    <xf numFmtId="165" fontId="10" fillId="0" borderId="0" xfId="0" applyNumberFormat="1" applyFont="1"/>
    <xf numFmtId="0" fontId="17" fillId="6" borderId="14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4" fillId="10" borderId="13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4" fillId="10" borderId="9" xfId="0" applyFont="1" applyFill="1" applyBorder="1" applyAlignment="1">
      <alignment vertical="center"/>
    </xf>
    <xf numFmtId="166" fontId="10" fillId="0" borderId="0" xfId="0" applyNumberFormat="1" applyFont="1"/>
    <xf numFmtId="0" fontId="24" fillId="0" borderId="15" xfId="0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7" fillId="10" borderId="15" xfId="0" applyFont="1" applyFill="1" applyBorder="1" applyAlignment="1">
      <alignment horizontal="center" vertical="center"/>
    </xf>
    <xf numFmtId="0" fontId="14" fillId="10" borderId="15" xfId="0" applyFont="1" applyFill="1" applyBorder="1"/>
    <xf numFmtId="0" fontId="14" fillId="0" borderId="8" xfId="0" applyFont="1" applyBorder="1" applyAlignment="1">
      <alignment vertical="center"/>
    </xf>
    <xf numFmtId="0" fontId="14" fillId="10" borderId="13" xfId="0" applyFont="1" applyFill="1" applyBorder="1"/>
    <xf numFmtId="0" fontId="14" fillId="0" borderId="7" xfId="0" applyFont="1" applyBorder="1"/>
    <xf numFmtId="0" fontId="14" fillId="0" borderId="15" xfId="0" applyFont="1" applyBorder="1"/>
    <xf numFmtId="0" fontId="14" fillId="0" borderId="8" xfId="0" applyFont="1" applyBorder="1"/>
    <xf numFmtId="0" fontId="14" fillId="10" borderId="8" xfId="0" applyFont="1" applyFill="1" applyBorder="1"/>
    <xf numFmtId="6" fontId="21" fillId="8" borderId="8" xfId="0" applyNumberFormat="1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165" fontId="21" fillId="6" borderId="12" xfId="0" applyNumberFormat="1" applyFont="1" applyFill="1" applyBorder="1" applyAlignment="1">
      <alignment horizontal="center" vertical="center"/>
    </xf>
    <xf numFmtId="6" fontId="10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33" fillId="11" borderId="12" xfId="0" applyFont="1" applyFill="1" applyBorder="1" applyAlignment="1">
      <alignment horizontal="center" vertical="center" wrapText="1"/>
    </xf>
    <xf numFmtId="6" fontId="32" fillId="11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165" fontId="11" fillId="10" borderId="11" xfId="0" applyNumberFormat="1" applyFont="1" applyFill="1" applyBorder="1" applyAlignment="1">
      <alignment vertical="center" wrapText="1"/>
    </xf>
    <xf numFmtId="165" fontId="11" fillId="10" borderId="3" xfId="0" applyNumberFormat="1" applyFont="1" applyFill="1" applyBorder="1" applyAlignment="1">
      <alignment vertical="center" wrapText="1"/>
    </xf>
    <xf numFmtId="165" fontId="2" fillId="0" borderId="0" xfId="0" applyNumberFormat="1" applyFont="1"/>
    <xf numFmtId="0" fontId="11" fillId="0" borderId="0" xfId="0" applyFont="1"/>
    <xf numFmtId="3" fontId="9" fillId="2" borderId="12" xfId="0" applyNumberFormat="1" applyFont="1" applyFill="1" applyBorder="1" applyAlignment="1">
      <alignment horizontal="center" vertical="center"/>
    </xf>
    <xf numFmtId="6" fontId="9" fillId="2" borderId="12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left" vertical="center" wrapText="1" indent="2"/>
    </xf>
    <xf numFmtId="0" fontId="42" fillId="0" borderId="23" xfId="0" applyFont="1" applyBorder="1" applyAlignment="1">
      <alignment horizontal="left" vertical="center" wrapText="1" indent="2"/>
    </xf>
    <xf numFmtId="0" fontId="42" fillId="0" borderId="22" xfId="0" applyFont="1" applyBorder="1" applyAlignment="1">
      <alignment horizontal="left" vertical="center" wrapText="1" indent="2"/>
    </xf>
    <xf numFmtId="0" fontId="40" fillId="0" borderId="23" xfId="0" applyFont="1" applyBorder="1" applyAlignment="1">
      <alignment horizontal="left" vertical="center" wrapText="1" indent="2"/>
    </xf>
    <xf numFmtId="0" fontId="40" fillId="0" borderId="22" xfId="0" applyFont="1" applyBorder="1" applyAlignment="1">
      <alignment horizontal="left" vertical="center" wrapText="1" indent="2"/>
    </xf>
    <xf numFmtId="0" fontId="46" fillId="0" borderId="9" xfId="0" applyFont="1" applyBorder="1" applyAlignment="1">
      <alignment horizontal="justify" vertical="center" wrapText="1"/>
    </xf>
    <xf numFmtId="0" fontId="46" fillId="0" borderId="8" xfId="0" applyFont="1" applyBorder="1" applyAlignment="1">
      <alignment horizontal="justify" vertical="center" wrapText="1"/>
    </xf>
    <xf numFmtId="0" fontId="44" fillId="0" borderId="9" xfId="0" applyFont="1" applyBorder="1" applyAlignment="1">
      <alignment horizontal="justify" vertical="center" wrapText="1"/>
    </xf>
    <xf numFmtId="0" fontId="44" fillId="0" borderId="8" xfId="0" applyFont="1" applyBorder="1" applyAlignment="1">
      <alignment horizontal="justify" vertical="center" wrapText="1"/>
    </xf>
    <xf numFmtId="0" fontId="45" fillId="14" borderId="11" xfId="0" applyFont="1" applyFill="1" applyBorder="1" applyAlignment="1">
      <alignment vertical="center" wrapText="1"/>
    </xf>
    <xf numFmtId="0" fontId="45" fillId="14" borderId="3" xfId="0" applyFont="1" applyFill="1" applyBorder="1" applyAlignment="1">
      <alignment vertical="center" wrapText="1"/>
    </xf>
    <xf numFmtId="0" fontId="45" fillId="14" borderId="4" xfId="0" applyFont="1" applyFill="1" applyBorder="1" applyAlignment="1">
      <alignment vertical="center" wrapText="1"/>
    </xf>
    <xf numFmtId="0" fontId="44" fillId="0" borderId="11" xfId="0" applyFont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45" fillId="15" borderId="12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6" fontId="27" fillId="7" borderId="8" xfId="0" applyNumberFormat="1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6" fontId="19" fillId="0" borderId="12" xfId="0" applyNumberFormat="1" applyFont="1" applyBorder="1" applyAlignment="1">
      <alignment horizontal="center" vertical="center" wrapText="1"/>
    </xf>
    <xf numFmtId="165" fontId="32" fillId="6" borderId="8" xfId="0" applyNumberFormat="1" applyFont="1" applyFill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 wrapText="1"/>
    </xf>
    <xf numFmtId="165" fontId="17" fillId="8" borderId="12" xfId="0" applyNumberFormat="1" applyFont="1" applyFill="1" applyBorder="1" applyAlignment="1">
      <alignment horizontal="center" vertical="center" wrapText="1"/>
    </xf>
    <xf numFmtId="6" fontId="17" fillId="6" borderId="12" xfId="0" applyNumberFormat="1" applyFont="1" applyFill="1" applyBorder="1" applyAlignment="1">
      <alignment horizontal="center" vertical="center" wrapText="1"/>
    </xf>
    <xf numFmtId="6" fontId="17" fillId="17" borderId="12" xfId="0" applyNumberFormat="1" applyFont="1" applyFill="1" applyBorder="1" applyAlignment="1">
      <alignment horizontal="center" vertical="center" wrapText="1"/>
    </xf>
    <xf numFmtId="0" fontId="49" fillId="4" borderId="12" xfId="0" applyFont="1" applyFill="1" applyBorder="1" applyAlignment="1">
      <alignment horizontal="center" vertical="center"/>
    </xf>
    <xf numFmtId="6" fontId="50" fillId="4" borderId="12" xfId="0" applyNumberFormat="1" applyFont="1" applyFill="1" applyBorder="1" applyAlignment="1">
      <alignment horizontal="center" vertical="center" wrapText="1"/>
    </xf>
    <xf numFmtId="0" fontId="32" fillId="16" borderId="1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6" fontId="24" fillId="16" borderId="15" xfId="0" applyNumberFormat="1" applyFont="1" applyFill="1" applyBorder="1" applyAlignment="1">
      <alignment horizontal="center" vertical="center"/>
    </xf>
    <xf numFmtId="6" fontId="30" fillId="16" borderId="15" xfId="0" applyNumberFormat="1" applyFont="1" applyFill="1" applyBorder="1" applyAlignment="1">
      <alignment horizontal="center" vertical="center"/>
    </xf>
    <xf numFmtId="165" fontId="11" fillId="0" borderId="3" xfId="0" applyNumberFormat="1" applyFont="1" applyBorder="1" applyAlignment="1">
      <alignment vertical="center" wrapText="1"/>
    </xf>
    <xf numFmtId="165" fontId="11" fillId="0" borderId="4" xfId="0" applyNumberFormat="1" applyFont="1" applyBorder="1" applyAlignment="1">
      <alignment vertical="center" wrapText="1"/>
    </xf>
    <xf numFmtId="0" fontId="52" fillId="0" borderId="0" xfId="0" applyFont="1" applyAlignment="1">
      <alignment horizontal="left" vertical="center"/>
    </xf>
    <xf numFmtId="6" fontId="7" fillId="0" borderId="8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6" fontId="19" fillId="0" borderId="8" xfId="0" applyNumberFormat="1" applyFont="1" applyBorder="1" applyAlignment="1">
      <alignment horizontal="center" vertical="center" wrapText="1"/>
    </xf>
    <xf numFmtId="6" fontId="7" fillId="0" borderId="20" xfId="0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0" fontId="48" fillId="0" borderId="0" xfId="0" applyFont="1"/>
    <xf numFmtId="6" fontId="18" fillId="0" borderId="12" xfId="0" applyNumberFormat="1" applyFont="1" applyBorder="1" applyAlignment="1">
      <alignment horizontal="center" vertical="center"/>
    </xf>
    <xf numFmtId="6" fontId="18" fillId="0" borderId="8" xfId="0" applyNumberFormat="1" applyFont="1" applyBorder="1" applyAlignment="1">
      <alignment horizontal="center" vertical="center"/>
    </xf>
    <xf numFmtId="6" fontId="30" fillId="0" borderId="9" xfId="0" applyNumberFormat="1" applyFont="1" applyBorder="1" applyAlignment="1">
      <alignment horizontal="center" vertical="center"/>
    </xf>
    <xf numFmtId="6" fontId="23" fillId="0" borderId="8" xfId="0" applyNumberFormat="1" applyFont="1" applyBorder="1" applyAlignment="1">
      <alignment horizontal="center" vertical="center" wrapText="1"/>
    </xf>
    <xf numFmtId="6" fontId="32" fillId="17" borderId="1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/>
    <xf numFmtId="6" fontId="48" fillId="0" borderId="8" xfId="5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/>
    </xf>
    <xf numFmtId="6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6" fontId="32" fillId="11" borderId="9" xfId="0" applyNumberFormat="1" applyFont="1" applyFill="1" applyBorder="1" applyAlignment="1">
      <alignment horizontal="center" vertical="center" wrapText="1"/>
    </xf>
    <xf numFmtId="6" fontId="7" fillId="0" borderId="25" xfId="0" applyNumberFormat="1" applyFont="1" applyBorder="1" applyAlignment="1">
      <alignment horizontal="center" vertical="center" wrapText="1"/>
    </xf>
    <xf numFmtId="6" fontId="19" fillId="0" borderId="1" xfId="0" applyNumberFormat="1" applyFont="1" applyBorder="1" applyAlignment="1">
      <alignment horizontal="center" vertical="center" wrapText="1"/>
    </xf>
    <xf numFmtId="0" fontId="55" fillId="0" borderId="0" xfId="0" applyFont="1"/>
    <xf numFmtId="166" fontId="30" fillId="0" borderId="9" xfId="0" applyNumberFormat="1" applyFont="1" applyBorder="1" applyAlignment="1">
      <alignment horizontal="center" vertical="center"/>
    </xf>
    <xf numFmtId="0" fontId="2" fillId="0" borderId="0" xfId="0" applyFont="1"/>
    <xf numFmtId="165" fontId="0" fillId="0" borderId="0" xfId="0" applyNumberFormat="1"/>
    <xf numFmtId="0" fontId="59" fillId="0" borderId="27" xfId="0" applyFont="1" applyBorder="1" applyAlignment="1">
      <alignment wrapText="1"/>
    </xf>
    <xf numFmtId="0" fontId="59" fillId="0" borderId="27" xfId="0" applyFont="1" applyBorder="1" applyAlignment="1">
      <alignment horizontal="left" wrapText="1"/>
    </xf>
    <xf numFmtId="0" fontId="59" fillId="0" borderId="9" xfId="0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58" fillId="0" borderId="29" xfId="0" applyFont="1" applyBorder="1" applyAlignment="1">
      <alignment horizontal="center" wrapText="1"/>
    </xf>
    <xf numFmtId="3" fontId="58" fillId="0" borderId="28" xfId="0" applyNumberFormat="1" applyFont="1" applyBorder="1" applyAlignment="1">
      <alignment horizontal="center" wrapText="1"/>
    </xf>
    <xf numFmtId="6" fontId="58" fillId="0" borderId="28" xfId="0" applyNumberFormat="1" applyFont="1" applyBorder="1" applyAlignment="1">
      <alignment horizontal="center" wrapText="1"/>
    </xf>
    <xf numFmtId="0" fontId="58" fillId="0" borderId="30" xfId="0" applyFont="1" applyBorder="1" applyAlignment="1">
      <alignment horizontal="center" wrapText="1"/>
    </xf>
    <xf numFmtId="3" fontId="58" fillId="0" borderId="30" xfId="0" applyNumberFormat="1" applyFont="1" applyBorder="1" applyAlignment="1">
      <alignment horizontal="center" wrapText="1"/>
    </xf>
    <xf numFmtId="6" fontId="58" fillId="0" borderId="30" xfId="0" applyNumberFormat="1" applyFont="1" applyBorder="1" applyAlignment="1">
      <alignment horizontal="center" wrapText="1"/>
    </xf>
    <xf numFmtId="0" fontId="58" fillId="0" borderId="8" xfId="0" applyFont="1" applyBorder="1" applyAlignment="1">
      <alignment horizontal="center" wrapText="1"/>
    </xf>
    <xf numFmtId="0" fontId="57" fillId="18" borderId="26" xfId="0" applyFont="1" applyFill="1" applyBorder="1" applyAlignment="1">
      <alignment horizontal="center" wrapText="1"/>
    </xf>
    <xf numFmtId="0" fontId="57" fillId="18" borderId="4" xfId="0" applyFont="1" applyFill="1" applyBorder="1" applyAlignment="1">
      <alignment horizontal="center" wrapText="1"/>
    </xf>
    <xf numFmtId="0" fontId="0" fillId="0" borderId="31" xfId="0" applyBorder="1"/>
    <xf numFmtId="43" fontId="0" fillId="0" borderId="31" xfId="0" applyNumberFormat="1" applyBorder="1"/>
    <xf numFmtId="0" fontId="0" fillId="19" borderId="0" xfId="0" applyFill="1"/>
    <xf numFmtId="165" fontId="30" fillId="0" borderId="9" xfId="0" applyNumberFormat="1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6" fontId="30" fillId="21" borderId="9" xfId="0" applyNumberFormat="1" applyFont="1" applyFill="1" applyBorder="1" applyAlignment="1">
      <alignment horizontal="center" vertical="center"/>
    </xf>
    <xf numFmtId="165" fontId="62" fillId="0" borderId="8" xfId="0" applyNumberFormat="1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8" fontId="0" fillId="0" borderId="0" xfId="0" applyNumberFormat="1"/>
    <xf numFmtId="165" fontId="7" fillId="0" borderId="8" xfId="0" applyNumberFormat="1" applyFont="1" applyBorder="1" applyAlignment="1">
      <alignment horizontal="center" vertical="center" wrapText="1"/>
    </xf>
    <xf numFmtId="164" fontId="10" fillId="0" borderId="0" xfId="1" applyNumberFormat="1" applyFont="1" applyBorder="1"/>
    <xf numFmtId="3" fontId="10" fillId="0" borderId="0" xfId="0" applyNumberFormat="1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166" fontId="51" fillId="0" borderId="0" xfId="0" applyNumberFormat="1" applyFont="1"/>
    <xf numFmtId="166" fontId="51" fillId="0" borderId="0" xfId="1" applyNumberFormat="1" applyFont="1" applyBorder="1"/>
    <xf numFmtId="166" fontId="10" fillId="0" borderId="0" xfId="1" applyNumberFormat="1" applyFont="1" applyBorder="1"/>
    <xf numFmtId="0" fontId="17" fillId="0" borderId="3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38" fillId="0" borderId="22" xfId="0" applyFont="1" applyBorder="1" applyAlignment="1">
      <alignment horizontal="right" vertical="center" wrapText="1"/>
    </xf>
    <xf numFmtId="0" fontId="17" fillId="6" borderId="37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vertical="center" wrapText="1"/>
    </xf>
    <xf numFmtId="0" fontId="17" fillId="0" borderId="36" xfId="0" applyFont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33" fillId="16" borderId="38" xfId="0" applyFont="1" applyFill="1" applyBorder="1" applyAlignment="1">
      <alignment horizontal="center" vertical="center" wrapText="1"/>
    </xf>
    <xf numFmtId="0" fontId="22" fillId="16" borderId="36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/>
    </xf>
    <xf numFmtId="0" fontId="60" fillId="0" borderId="22" xfId="0" applyFont="1" applyBorder="1" applyAlignment="1">
      <alignment horizontal="right" vertical="center" wrapText="1"/>
    </xf>
    <xf numFmtId="0" fontId="14" fillId="0" borderId="37" xfId="0" applyFont="1" applyBorder="1" applyAlignment="1">
      <alignment vertical="center"/>
    </xf>
    <xf numFmtId="0" fontId="38" fillId="0" borderId="39" xfId="0" applyFont="1" applyBorder="1" applyAlignment="1">
      <alignment horizontal="right" vertical="center" wrapText="1"/>
    </xf>
    <xf numFmtId="0" fontId="31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22" fillId="16" borderId="40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center" wrapText="1"/>
    </xf>
    <xf numFmtId="0" fontId="17" fillId="6" borderId="42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33" fillId="11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/>
    </xf>
    <xf numFmtId="6" fontId="16" fillId="4" borderId="5" xfId="0" applyNumberFormat="1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4" fillId="10" borderId="10" xfId="0" applyFont="1" applyFill="1" applyBorder="1" applyAlignment="1">
      <alignment vertical="center"/>
    </xf>
    <xf numFmtId="0" fontId="31" fillId="0" borderId="37" xfId="0" applyFont="1" applyBorder="1" applyAlignment="1">
      <alignment horizontal="center" vertical="center"/>
    </xf>
    <xf numFmtId="0" fontId="33" fillId="16" borderId="40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40" fillId="0" borderId="6" xfId="0" applyFont="1" applyBorder="1" applyAlignment="1">
      <alignment horizontal="left" vertical="center" wrapText="1" indent="2"/>
    </xf>
    <xf numFmtId="0" fontId="11" fillId="0" borderId="22" xfId="0" applyFont="1" applyBorder="1" applyAlignment="1">
      <alignment horizontal="right" vertical="center"/>
    </xf>
    <xf numFmtId="0" fontId="11" fillId="0" borderId="38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165" fontId="12" fillId="0" borderId="22" xfId="0" applyNumberFormat="1" applyFont="1" applyBorder="1" applyAlignment="1">
      <alignment vertical="center" wrapText="1"/>
    </xf>
    <xf numFmtId="167" fontId="11" fillId="0" borderId="26" xfId="0" applyNumberFormat="1" applyFont="1" applyBorder="1" applyAlignment="1">
      <alignment vertical="center" wrapText="1"/>
    </xf>
    <xf numFmtId="165" fontId="11" fillId="10" borderId="2" xfId="0" applyNumberFormat="1" applyFont="1" applyFill="1" applyBorder="1" applyAlignment="1">
      <alignment vertical="center" wrapText="1"/>
    </xf>
    <xf numFmtId="165" fontId="11" fillId="10" borderId="22" xfId="0" applyNumberFormat="1" applyFont="1" applyFill="1" applyBorder="1" applyAlignment="1">
      <alignment vertical="center" wrapText="1"/>
    </xf>
    <xf numFmtId="165" fontId="36" fillId="12" borderId="26" xfId="0" applyNumberFormat="1" applyFont="1" applyFill="1" applyBorder="1"/>
    <xf numFmtId="165" fontId="37" fillId="12" borderId="26" xfId="0" applyNumberFormat="1" applyFont="1" applyFill="1" applyBorder="1" applyAlignment="1">
      <alignment vertical="center" wrapText="1"/>
    </xf>
    <xf numFmtId="0" fontId="15" fillId="12" borderId="55" xfId="0" applyFont="1" applyFill="1" applyBorder="1" applyAlignment="1">
      <alignment horizontal="center" vertical="center"/>
    </xf>
    <xf numFmtId="9" fontId="15" fillId="20" borderId="19" xfId="2" applyFont="1" applyFill="1" applyBorder="1" applyAlignment="1">
      <alignment horizontal="center" vertical="center"/>
    </xf>
    <xf numFmtId="165" fontId="37" fillId="20" borderId="56" xfId="0" applyNumberFormat="1" applyFont="1" applyFill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22" borderId="42" xfId="0" applyFont="1" applyFill="1" applyBorder="1" applyAlignment="1">
      <alignment vertical="center" wrapText="1"/>
    </xf>
    <xf numFmtId="9" fontId="12" fillId="22" borderId="12" xfId="2" applyFont="1" applyFill="1" applyBorder="1" applyAlignment="1">
      <alignment horizontal="right" vertical="center" wrapText="1"/>
    </xf>
    <xf numFmtId="165" fontId="7" fillId="0" borderId="25" xfId="0" applyNumberFormat="1" applyFont="1" applyBorder="1" applyAlignment="1">
      <alignment vertical="center" wrapText="1"/>
    </xf>
    <xf numFmtId="165" fontId="7" fillId="0" borderId="57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0" fillId="0" borderId="54" xfId="0" applyFont="1" applyBorder="1" applyAlignment="1">
      <alignment horizontal="left" vertical="center" wrapText="1" indent="2"/>
    </xf>
    <xf numFmtId="0" fontId="61" fillId="0" borderId="12" xfId="0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 wrapText="1"/>
    </xf>
    <xf numFmtId="165" fontId="11" fillId="0" borderId="22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horizontal="right" vertical="center"/>
    </xf>
    <xf numFmtId="165" fontId="11" fillId="0" borderId="15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5" fontId="18" fillId="0" borderId="11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165" fontId="18" fillId="0" borderId="11" xfId="1" applyNumberFormat="1" applyFont="1" applyFill="1" applyBorder="1" applyAlignment="1">
      <alignment horizontal="center" vertical="center"/>
    </xf>
    <xf numFmtId="165" fontId="18" fillId="0" borderId="4" xfId="1" applyNumberFormat="1" applyFont="1" applyFill="1" applyBorder="1" applyAlignment="1">
      <alignment horizontal="center" vertical="center"/>
    </xf>
    <xf numFmtId="165" fontId="21" fillId="6" borderId="11" xfId="0" applyNumberFormat="1" applyFont="1" applyFill="1" applyBorder="1" applyAlignment="1">
      <alignment horizontal="center" vertical="center"/>
    </xf>
    <xf numFmtId="165" fontId="21" fillId="6" borderId="4" xfId="0" applyNumberFormat="1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21" fillId="8" borderId="11" xfId="0" applyNumberFormat="1" applyFont="1" applyFill="1" applyBorder="1" applyAlignment="1">
      <alignment horizontal="center" vertical="center" wrapText="1"/>
    </xf>
    <xf numFmtId="165" fontId="21" fillId="8" borderId="4" xfId="0" applyNumberFormat="1" applyFont="1" applyFill="1" applyBorder="1" applyAlignment="1">
      <alignment horizontal="center" vertical="center" wrapText="1"/>
    </xf>
    <xf numFmtId="6" fontId="32" fillId="0" borderId="11" xfId="0" applyNumberFormat="1" applyFont="1" applyBorder="1" applyAlignment="1">
      <alignment horizontal="center" vertical="center" wrapText="1"/>
    </xf>
    <xf numFmtId="6" fontId="32" fillId="0" borderId="4" xfId="0" applyNumberFormat="1" applyFont="1" applyBorder="1" applyAlignment="1">
      <alignment horizontal="center" vertical="center" wrapText="1"/>
    </xf>
    <xf numFmtId="165" fontId="17" fillId="0" borderId="11" xfId="0" applyNumberFormat="1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6" fontId="50" fillId="4" borderId="11" xfId="0" applyNumberFormat="1" applyFont="1" applyFill="1" applyBorder="1" applyAlignment="1">
      <alignment horizontal="center" vertical="center"/>
    </xf>
    <xf numFmtId="6" fontId="50" fillId="4" borderId="4" xfId="0" applyNumberFormat="1" applyFont="1" applyFill="1" applyBorder="1" applyAlignment="1">
      <alignment horizontal="center" vertical="center"/>
    </xf>
    <xf numFmtId="165" fontId="50" fillId="4" borderId="11" xfId="0" applyNumberFormat="1" applyFont="1" applyFill="1" applyBorder="1" applyAlignment="1">
      <alignment horizontal="center" vertical="center"/>
    </xf>
    <xf numFmtId="165" fontId="50" fillId="4" borderId="4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17" fillId="8" borderId="3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right" vertical="center" wrapText="1"/>
    </xf>
    <xf numFmtId="165" fontId="21" fillId="10" borderId="11" xfId="0" applyNumberFormat="1" applyFont="1" applyFill="1" applyBorder="1" applyAlignment="1">
      <alignment horizontal="center" vertical="center"/>
    </xf>
    <xf numFmtId="165" fontId="21" fillId="10" borderId="3" xfId="0" applyNumberFormat="1" applyFont="1" applyFill="1" applyBorder="1" applyAlignment="1">
      <alignment horizontal="center" vertical="center"/>
    </xf>
    <xf numFmtId="165" fontId="21" fillId="10" borderId="2" xfId="0" applyNumberFormat="1" applyFont="1" applyFill="1" applyBorder="1" applyAlignment="1">
      <alignment horizontal="center" vertical="center"/>
    </xf>
    <xf numFmtId="0" fontId="32" fillId="16" borderId="11" xfId="0" applyFont="1" applyFill="1" applyBorder="1" applyAlignment="1">
      <alignment horizontal="center" vertical="center" wrapText="1"/>
    </xf>
    <xf numFmtId="0" fontId="32" fillId="16" borderId="26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165" fontId="21" fillId="0" borderId="1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32" fillId="16" borderId="3" xfId="0" applyFont="1" applyFill="1" applyBorder="1" applyAlignment="1">
      <alignment horizontal="center" vertical="center" wrapText="1"/>
    </xf>
    <xf numFmtId="0" fontId="32" fillId="16" borderId="2" xfId="0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39" fillId="5" borderId="32" xfId="0" applyFont="1" applyFill="1" applyBorder="1" applyAlignment="1">
      <alignment horizontal="center" vertical="center"/>
    </xf>
    <xf numFmtId="0" fontId="39" fillId="5" borderId="33" xfId="0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4" fillId="13" borderId="32" xfId="0" applyFont="1" applyFill="1" applyBorder="1" applyAlignment="1">
      <alignment horizontal="center"/>
    </xf>
    <xf numFmtId="0" fontId="34" fillId="13" borderId="50" xfId="0" applyFont="1" applyFill="1" applyBorder="1" applyAlignment="1">
      <alignment horizontal="center"/>
    </xf>
    <xf numFmtId="0" fontId="34" fillId="13" borderId="51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34" fillId="13" borderId="35" xfId="0" applyFont="1" applyFill="1" applyBorder="1" applyAlignment="1">
      <alignment horizontal="center"/>
    </xf>
    <xf numFmtId="0" fontId="34" fillId="13" borderId="3" xfId="0" applyFont="1" applyFill="1" applyBorder="1" applyAlignment="1">
      <alignment horizontal="center"/>
    </xf>
    <xf numFmtId="0" fontId="34" fillId="13" borderId="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</cellXfs>
  <cellStyles count="6">
    <cellStyle name="Comma" xfId="1" builtinId="3"/>
    <cellStyle name="Currency" xfId="5" builtinId="4"/>
    <cellStyle name="Hyperlink" xfId="3" builtinId="8"/>
    <cellStyle name="Normal" xfId="0" builtinId="0"/>
    <cellStyle name="Normal 2" xfId="4" xr:uid="{02B0F892-F1FF-4113-AC2C-A15784CD7239}"/>
    <cellStyle name="Percent" xfId="2" builtinId="5"/>
  </cellStyles>
  <dxfs count="0"/>
  <tableStyles count="0" defaultTableStyle="TableStyleMedium2" defaultPivotStyle="PivotStyleLight16"/>
  <colors>
    <mruColors>
      <color rgb="FF4DB0C7"/>
      <color rgb="FFFBD4B4"/>
      <color rgb="FF9BBB59"/>
      <color rgb="FF31869B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</xdr:row>
      <xdr:rowOff>152400</xdr:rowOff>
    </xdr:from>
    <xdr:to>
      <xdr:col>5</xdr:col>
      <xdr:colOff>228600</xdr:colOff>
      <xdr:row>13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EF678E-8402-7E96-8A23-2867CBE17338}"/>
            </a:ext>
            <a:ext uri="{147F2762-F138-4A5C-976F-8EAC2B608ADB}">
              <a16:predDERef xmlns:a16="http://schemas.microsoft.com/office/drawing/2014/main" pred="{32F54D0B-BF94-1587-5F09-8B58489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42950"/>
          <a:ext cx="4895850" cy="184785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3</xdr:row>
      <xdr:rowOff>171450</xdr:rowOff>
    </xdr:from>
    <xdr:to>
      <xdr:col>11</xdr:col>
      <xdr:colOff>523875</xdr:colOff>
      <xdr:row>7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CD9871-1455-B498-142B-3FD770F647F8}"/>
            </a:ext>
            <a:ext uri="{147F2762-F138-4A5C-976F-8EAC2B608ADB}">
              <a16:predDERef xmlns:a16="http://schemas.microsoft.com/office/drawing/2014/main" pred="{BCEF678E-8402-7E96-8A23-2867CBE1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450" y="762000"/>
          <a:ext cx="33909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1905000</xdr:colOff>
      <xdr:row>9</xdr:row>
      <xdr:rowOff>133350</xdr:rowOff>
    </xdr:from>
    <xdr:to>
      <xdr:col>3</xdr:col>
      <xdr:colOff>781050</xdr:colOff>
      <xdr:row>9</xdr:row>
      <xdr:rowOff>2438400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D9516CB-878F-4424-935C-519A25B5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" b="31503"/>
        <a:stretch>
          <a:fillRect/>
        </a:stretch>
      </xdr:blipFill>
      <xdr:spPr bwMode="auto">
        <a:xfrm>
          <a:off x="1905000" y="1943100"/>
          <a:ext cx="344805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EEC7-00B7-49AD-8CBF-0904F1DA97D3}">
  <sheetPr>
    <tabColor theme="9"/>
  </sheetPr>
  <dimension ref="B2:N3"/>
  <sheetViews>
    <sheetView zoomScale="80" zoomScaleNormal="80" workbookViewId="0">
      <selection activeCell="J13" sqref="J13"/>
    </sheetView>
  </sheetViews>
  <sheetFormatPr defaultRowHeight="15"/>
  <cols>
    <col min="2" max="2" width="30.5703125" bestFit="1" customWidth="1"/>
    <col min="3" max="3" width="12.140625" bestFit="1" customWidth="1"/>
    <col min="4" max="4" width="14.28515625" bestFit="1" customWidth="1"/>
    <col min="5" max="5" width="10.85546875" bestFit="1" customWidth="1"/>
    <col min="6" max="6" width="12.140625" bestFit="1" customWidth="1"/>
    <col min="7" max="8" width="5.7109375" customWidth="1"/>
    <col min="9" max="12" width="12.140625" bestFit="1" customWidth="1"/>
    <col min="14" max="14" width="40" bestFit="1" customWidth="1"/>
    <col min="15" max="15" width="13.140625" bestFit="1" customWidth="1"/>
    <col min="16" max="16" width="12.85546875" customWidth="1"/>
    <col min="17" max="19" width="13.140625" bestFit="1" customWidth="1"/>
  </cols>
  <sheetData>
    <row r="2" spans="2:14" ht="15.75">
      <c r="B2" s="111"/>
    </row>
    <row r="3" spans="2:14" ht="15.75">
      <c r="B3" s="118" t="s">
        <v>0</v>
      </c>
      <c r="H3" s="118" t="s">
        <v>1</v>
      </c>
      <c r="M3" s="111"/>
      <c r="N3" s="1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11D7-E1FA-477B-A71F-3D2E87E90074}">
  <sheetPr>
    <tabColor theme="9"/>
  </sheetPr>
  <dimension ref="A1:L27"/>
  <sheetViews>
    <sheetView zoomScale="145" zoomScaleNormal="145" workbookViewId="0">
      <selection activeCell="D7" sqref="D7"/>
    </sheetView>
  </sheetViews>
  <sheetFormatPr defaultRowHeight="15"/>
  <cols>
    <col min="1" max="1" width="15.5703125" customWidth="1"/>
    <col min="3" max="3" width="10.42578125" customWidth="1"/>
    <col min="4" max="4" width="12.28515625" customWidth="1"/>
    <col min="9" max="9" width="13.5703125" customWidth="1"/>
    <col min="12" max="12" width="11.42578125" customWidth="1"/>
  </cols>
  <sheetData>
    <row r="1" spans="1:12">
      <c r="A1" s="131" t="s">
        <v>2</v>
      </c>
      <c r="B1" s="151"/>
    </row>
    <row r="2" spans="1:12">
      <c r="A2" s="131"/>
    </row>
    <row r="4" spans="1:12" ht="15.75" customHeight="1">
      <c r="C4" s="7"/>
      <c r="D4" s="231" t="s">
        <v>3</v>
      </c>
      <c r="E4" s="232"/>
      <c r="F4" s="232"/>
      <c r="G4" s="233"/>
      <c r="H4" s="231" t="s">
        <v>4</v>
      </c>
      <c r="I4" s="232"/>
      <c r="J4" s="232"/>
      <c r="K4" s="233"/>
      <c r="L4" s="234" t="s">
        <v>5</v>
      </c>
    </row>
    <row r="5" spans="1:12" ht="22.5">
      <c r="C5" s="8"/>
      <c r="D5" s="1" t="s">
        <v>6</v>
      </c>
      <c r="E5" s="2" t="s">
        <v>7</v>
      </c>
      <c r="F5" s="1" t="s">
        <v>8</v>
      </c>
      <c r="G5" s="1" t="s">
        <v>9</v>
      </c>
      <c r="H5" s="54" t="s">
        <v>6</v>
      </c>
      <c r="I5" s="3" t="s">
        <v>7</v>
      </c>
      <c r="J5" s="1" t="s">
        <v>8</v>
      </c>
      <c r="K5" s="1" t="s">
        <v>10</v>
      </c>
      <c r="L5" s="235"/>
    </row>
    <row r="6" spans="1:12" ht="33.75">
      <c r="C6" s="4" t="s">
        <v>11</v>
      </c>
      <c r="D6" s="221">
        <f>150000+72000+1000+15986+10000+3450+16080+4429+5000+1000+10000+6000+126500+4000+162000+13000+1676+5000+200000+20000+1200+'Appendix Table 2 details'!F44+21000</f>
        <v>1621094.1</v>
      </c>
      <c r="E6" s="220">
        <f>1390000+'Appendix Table 2 details'!E44</f>
        <v>1720759.9</v>
      </c>
      <c r="F6" s="108">
        <v>454448</v>
      </c>
      <c r="G6" s="108">
        <f>SUM(D6:F6)</f>
        <v>3796302</v>
      </c>
      <c r="H6" s="109">
        <f>D6*1.03</f>
        <v>1669726.9230000002</v>
      </c>
      <c r="I6" s="158">
        <f>755567+206000+450000+100000+'Appendix Table 2 details'!E45</f>
        <v>1852249.6969999999</v>
      </c>
      <c r="J6" s="108">
        <v>500142</v>
      </c>
      <c r="K6" s="104">
        <f>SUM(H6:J6)</f>
        <v>4022118.62</v>
      </c>
      <c r="L6" s="62">
        <f t="shared" ref="L6:L11" si="0">SUM(G6,K6)</f>
        <v>7818420.6200000001</v>
      </c>
    </row>
    <row r="7" spans="1:12" ht="22.5">
      <c r="C7" s="4" t="s">
        <v>12</v>
      </c>
      <c r="D7" s="106">
        <f>209325-F7</f>
        <v>194725</v>
      </c>
      <c r="E7" s="106">
        <v>255805</v>
      </c>
      <c r="F7" s="110">
        <v>14600</v>
      </c>
      <c r="G7" s="106">
        <f>SUM(D7:F7)</f>
        <v>465130</v>
      </c>
      <c r="H7" s="107">
        <f>275291-J7</f>
        <v>259691</v>
      </c>
      <c r="I7" s="106">
        <v>302227</v>
      </c>
      <c r="J7" s="110">
        <v>15600</v>
      </c>
      <c r="K7" s="106">
        <f>SUM(H7:J7)</f>
        <v>577518</v>
      </c>
      <c r="L7" s="60">
        <f t="shared" si="0"/>
        <v>1042648</v>
      </c>
    </row>
    <row r="8" spans="1:12" ht="15" customHeight="1">
      <c r="C8" s="236" t="s">
        <v>13</v>
      </c>
      <c r="D8" s="237"/>
      <c r="E8" s="237"/>
      <c r="F8" s="238"/>
      <c r="G8" s="88">
        <f>651234</f>
        <v>651234</v>
      </c>
      <c r="H8" s="239"/>
      <c r="I8" s="240"/>
      <c r="J8" s="241"/>
      <c r="K8" s="108">
        <f>G8</f>
        <v>651234</v>
      </c>
      <c r="L8" s="61">
        <f t="shared" si="0"/>
        <v>1302468</v>
      </c>
    </row>
    <row r="9" spans="1:12" ht="14.25" customHeight="1">
      <c r="C9" s="236" t="s">
        <v>14</v>
      </c>
      <c r="D9" s="237"/>
      <c r="E9" s="237"/>
      <c r="F9" s="242"/>
      <c r="G9" s="108">
        <v>39400</v>
      </c>
      <c r="H9" s="239"/>
      <c r="I9" s="240"/>
      <c r="J9" s="241"/>
      <c r="K9" s="104">
        <v>39400</v>
      </c>
      <c r="L9" s="61">
        <f t="shared" si="0"/>
        <v>78800</v>
      </c>
    </row>
    <row r="10" spans="1:12" ht="14.25" customHeight="1">
      <c r="C10" s="236" t="s">
        <v>15</v>
      </c>
      <c r="D10" s="237"/>
      <c r="E10" s="237"/>
      <c r="F10" s="242"/>
      <c r="G10" s="128">
        <v>96251</v>
      </c>
      <c r="H10" s="86"/>
      <c r="I10" s="86"/>
      <c r="J10" s="87"/>
      <c r="K10" s="104">
        <f>(G10*1.03)*2</f>
        <v>198277.06</v>
      </c>
      <c r="L10" s="61">
        <f t="shared" si="0"/>
        <v>294528.06</v>
      </c>
    </row>
    <row r="11" spans="1:12" ht="14.25" customHeight="1">
      <c r="C11" s="236" t="s">
        <v>16</v>
      </c>
      <c r="D11" s="237"/>
      <c r="E11" s="237"/>
      <c r="F11" s="237"/>
      <c r="G11" s="127">
        <v>45989</v>
      </c>
      <c r="H11" s="243"/>
      <c r="I11" s="243"/>
      <c r="J11" s="244"/>
      <c r="K11" s="105">
        <v>229945</v>
      </c>
      <c r="L11" s="61">
        <f t="shared" si="0"/>
        <v>275934</v>
      </c>
    </row>
    <row r="12" spans="1:12">
      <c r="L12" s="53"/>
    </row>
    <row r="13" spans="1:12" ht="18" customHeight="1">
      <c r="C13" s="103" t="s">
        <v>17</v>
      </c>
      <c r="L13" s="53"/>
    </row>
    <row r="14" spans="1:12" ht="18" customHeight="1">
      <c r="C14" s="122" t="s">
        <v>18</v>
      </c>
      <c r="L14" s="53"/>
    </row>
    <row r="15" spans="1:12">
      <c r="J15" s="150"/>
      <c r="L15" s="150"/>
    </row>
    <row r="19" ht="15" customHeight="1"/>
    <row r="20" ht="15" customHeight="1"/>
    <row r="21" ht="15" customHeight="1"/>
    <row r="24" ht="15" customHeight="1"/>
    <row r="25" ht="15" customHeight="1"/>
    <row r="26" ht="15" customHeight="1"/>
    <row r="27" ht="15" customHeight="1"/>
  </sheetData>
  <mergeCells count="10">
    <mergeCell ref="C9:F9"/>
    <mergeCell ref="H9:J9"/>
    <mergeCell ref="C10:F10"/>
    <mergeCell ref="C11:F11"/>
    <mergeCell ref="H11:J11"/>
    <mergeCell ref="D4:G4"/>
    <mergeCell ref="H4:K4"/>
    <mergeCell ref="L4:L5"/>
    <mergeCell ref="C8:F8"/>
    <mergeCell ref="H8:J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63F3-D5A4-4081-A677-15D3DC7E37E2}">
  <sheetPr>
    <tabColor theme="9"/>
  </sheetPr>
  <dimension ref="A1:H47"/>
  <sheetViews>
    <sheetView topLeftCell="A109" zoomScale="160" zoomScaleNormal="160" workbookViewId="0">
      <selection activeCell="M9" sqref="M9"/>
    </sheetView>
  </sheetViews>
  <sheetFormatPr defaultRowHeight="15"/>
  <cols>
    <col min="3" max="3" width="41.140625" customWidth="1"/>
    <col min="4" max="4" width="25.85546875" customWidth="1"/>
    <col min="5" max="5" width="13.140625" bestFit="1" customWidth="1"/>
    <col min="6" max="7" width="12.42578125" bestFit="1" customWidth="1"/>
    <col min="8" max="8" width="15.5703125" customWidth="1"/>
  </cols>
  <sheetData>
    <row r="1" spans="1:8">
      <c r="A1" s="152" t="s">
        <v>19</v>
      </c>
      <c r="D1" s="129"/>
    </row>
    <row r="3" spans="1:8" ht="15.75" customHeight="1">
      <c r="B3" s="10"/>
      <c r="C3" s="245" t="s">
        <v>20</v>
      </c>
      <c r="D3" s="246"/>
      <c r="E3" s="246"/>
      <c r="F3" s="246"/>
      <c r="G3" s="246"/>
      <c r="H3" s="247"/>
    </row>
    <row r="4" spans="1:8" ht="15" customHeight="1">
      <c r="B4" s="13"/>
      <c r="C4" s="248" t="s">
        <v>21</v>
      </c>
      <c r="D4" s="249"/>
      <c r="E4" s="249"/>
      <c r="F4" s="249"/>
      <c r="G4" s="249"/>
      <c r="H4" s="250"/>
    </row>
    <row r="5" spans="1:8">
      <c r="B5" s="16"/>
      <c r="C5" s="14" t="s">
        <v>22</v>
      </c>
      <c r="D5" s="251" t="s">
        <v>23</v>
      </c>
      <c r="E5" s="252"/>
      <c r="F5" s="251" t="s">
        <v>24</v>
      </c>
      <c r="G5" s="252"/>
      <c r="H5" s="15" t="s">
        <v>25</v>
      </c>
    </row>
    <row r="6" spans="1:8">
      <c r="B6" s="21"/>
      <c r="C6" s="19" t="s">
        <v>6</v>
      </c>
      <c r="D6" s="253">
        <v>3255015</v>
      </c>
      <c r="E6" s="254"/>
      <c r="F6" s="253">
        <v>4564809</v>
      </c>
      <c r="G6" s="254"/>
      <c r="H6" s="35">
        <f>SUM(D6:G6)</f>
        <v>7819824</v>
      </c>
    </row>
    <row r="7" spans="1:8">
      <c r="B7" s="21"/>
      <c r="C7" s="19" t="s">
        <v>26</v>
      </c>
      <c r="D7" s="253">
        <v>6430614.2300000004</v>
      </c>
      <c r="E7" s="254"/>
      <c r="F7" s="253">
        <v>8531516.0600000005</v>
      </c>
      <c r="G7" s="254"/>
      <c r="H7" s="35">
        <f t="shared" ref="H7" si="0">SUM(D7:G7)</f>
        <v>14962130.290000001</v>
      </c>
    </row>
    <row r="8" spans="1:8">
      <c r="B8" s="21"/>
      <c r="C8" s="19" t="s">
        <v>8</v>
      </c>
      <c r="D8" s="255">
        <v>1363345</v>
      </c>
      <c r="E8" s="256"/>
      <c r="F8" s="255">
        <v>1500426</v>
      </c>
      <c r="G8" s="256"/>
      <c r="H8" s="35">
        <f>SUM(D8:G8)</f>
        <v>2863771</v>
      </c>
    </row>
    <row r="9" spans="1:8">
      <c r="B9" s="25"/>
      <c r="C9" s="23" t="s">
        <v>27</v>
      </c>
      <c r="D9" s="257">
        <f>SUM(D6:E8)</f>
        <v>11048974.23</v>
      </c>
      <c r="E9" s="258"/>
      <c r="F9" s="257">
        <f>SUM(F6:G8)</f>
        <v>14596751.060000001</v>
      </c>
      <c r="G9" s="258"/>
      <c r="H9" s="89">
        <f>SUM(D9:G9)</f>
        <v>25645725.289999999</v>
      </c>
    </row>
    <row r="10" spans="1:8">
      <c r="B10" s="26"/>
      <c r="C10" s="259" t="s">
        <v>28</v>
      </c>
      <c r="D10" s="260"/>
      <c r="E10" s="260"/>
      <c r="F10" s="260"/>
      <c r="G10" s="260"/>
      <c r="H10" s="261"/>
    </row>
    <row r="11" spans="1:8">
      <c r="B11" s="29"/>
      <c r="C11" s="27" t="s">
        <v>22</v>
      </c>
      <c r="D11" s="251" t="s">
        <v>23</v>
      </c>
      <c r="E11" s="252"/>
      <c r="F11" s="251" t="s">
        <v>24</v>
      </c>
      <c r="G11" s="252"/>
      <c r="H11" s="15" t="s">
        <v>25</v>
      </c>
    </row>
    <row r="12" spans="1:8" ht="14.25" customHeight="1">
      <c r="B12" s="31"/>
      <c r="C12" s="19" t="s">
        <v>6</v>
      </c>
      <c r="D12" s="262">
        <f>'Table 1'!D6</f>
        <v>1621094.1</v>
      </c>
      <c r="E12" s="263"/>
      <c r="F12" s="262">
        <f>'Table 1'!H6</f>
        <v>1669726.9230000002</v>
      </c>
      <c r="G12" s="263"/>
      <c r="H12" s="90">
        <f>SUM(D12:G12)</f>
        <v>3290821.023</v>
      </c>
    </row>
    <row r="13" spans="1:8">
      <c r="B13" s="31"/>
      <c r="C13" s="19" t="s">
        <v>26</v>
      </c>
      <c r="D13" s="262">
        <f>'Table 1'!E6</f>
        <v>1720759.9</v>
      </c>
      <c r="E13" s="263"/>
      <c r="F13" s="262">
        <f>'Table 1'!I6</f>
        <v>1852249.6969999999</v>
      </c>
      <c r="G13" s="263"/>
      <c r="H13" s="90">
        <f t="shared" ref="H13:H19" si="1">SUM(D13:G13)</f>
        <v>3573009.5970000001</v>
      </c>
    </row>
    <row r="14" spans="1:8">
      <c r="B14" s="31"/>
      <c r="C14" s="19" t="s">
        <v>8</v>
      </c>
      <c r="D14" s="262">
        <f>'Table 1'!F6+1280000</f>
        <v>1734448</v>
      </c>
      <c r="E14" s="263"/>
      <c r="F14" s="262">
        <f>'Table 1'!J6</f>
        <v>500142</v>
      </c>
      <c r="G14" s="263"/>
      <c r="H14" s="90">
        <f t="shared" si="1"/>
        <v>2234590</v>
      </c>
    </row>
    <row r="15" spans="1:8" ht="16.5" customHeight="1">
      <c r="B15" s="31"/>
      <c r="C15" s="9" t="s">
        <v>29</v>
      </c>
      <c r="D15" s="264">
        <f>SUM(D12:E14)</f>
        <v>5076302</v>
      </c>
      <c r="E15" s="265"/>
      <c r="F15" s="264">
        <f>SUM(F12:G14)</f>
        <v>4022118.62</v>
      </c>
      <c r="G15" s="265"/>
      <c r="H15" s="91">
        <f t="shared" si="1"/>
        <v>9098420.620000001</v>
      </c>
    </row>
    <row r="16" spans="1:8">
      <c r="B16" s="31"/>
      <c r="C16" s="47" t="s">
        <v>30</v>
      </c>
      <c r="D16" s="257">
        <f>D9</f>
        <v>11048974.23</v>
      </c>
      <c r="E16" s="258"/>
      <c r="F16" s="257">
        <f>F9</f>
        <v>14596751.060000001</v>
      </c>
      <c r="G16" s="258"/>
      <c r="H16" s="92">
        <f t="shared" si="1"/>
        <v>25645725.289999999</v>
      </c>
    </row>
    <row r="17" spans="2:8">
      <c r="B17" s="31"/>
      <c r="C17" s="51" t="s">
        <v>31</v>
      </c>
      <c r="D17" s="266">
        <v>690634</v>
      </c>
      <c r="E17" s="267"/>
      <c r="F17" s="268">
        <f>'Table 1'!K8+'Table 1'!K9</f>
        <v>690634</v>
      </c>
      <c r="G17" s="269"/>
      <c r="H17" s="93">
        <f t="shared" si="1"/>
        <v>1381268</v>
      </c>
    </row>
    <row r="18" spans="2:8" ht="14.25" customHeight="1">
      <c r="B18" s="31"/>
      <c r="C18" s="51" t="s">
        <v>15</v>
      </c>
      <c r="D18" s="266">
        <v>96251</v>
      </c>
      <c r="E18" s="267"/>
      <c r="F18" s="268">
        <f>'Table 1'!K10</f>
        <v>198277.06</v>
      </c>
      <c r="G18" s="269"/>
      <c r="H18" s="93">
        <f t="shared" si="1"/>
        <v>294528.06</v>
      </c>
    </row>
    <row r="19" spans="2:8" ht="24">
      <c r="B19" s="31"/>
      <c r="C19" s="51" t="s">
        <v>32</v>
      </c>
      <c r="D19" s="266">
        <v>45989</v>
      </c>
      <c r="E19" s="267"/>
      <c r="F19" s="268">
        <f>'Table 1'!K11</f>
        <v>229945</v>
      </c>
      <c r="G19" s="269"/>
      <c r="H19" s="93">
        <f t="shared" si="1"/>
        <v>275934</v>
      </c>
    </row>
    <row r="20" spans="2:8">
      <c r="C20" s="94" t="s">
        <v>33</v>
      </c>
      <c r="D20" s="270">
        <f>SUM(D15:E19)</f>
        <v>16958150.23</v>
      </c>
      <c r="E20" s="271"/>
      <c r="F20" s="272">
        <f>SUM(F15:G19)</f>
        <v>19737725.739999998</v>
      </c>
      <c r="G20" s="273"/>
      <c r="H20" s="95">
        <f>SUM(D20:G20)</f>
        <v>36695875.969999999</v>
      </c>
    </row>
    <row r="45" ht="34.5" customHeight="1"/>
    <row r="46" ht="28.5" customHeight="1"/>
    <row r="47" ht="27" customHeight="1"/>
  </sheetData>
  <mergeCells count="33">
    <mergeCell ref="D19:E19"/>
    <mergeCell ref="F19:G19"/>
    <mergeCell ref="D20:E20"/>
    <mergeCell ref="F20:G20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H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C3:H3"/>
    <mergeCell ref="C4:H4"/>
    <mergeCell ref="D5:E5"/>
    <mergeCell ref="F5:G5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D975-F880-4DBF-B948-DFB26F768159}">
  <sheetPr>
    <tabColor theme="9"/>
  </sheetPr>
  <dimension ref="A1:Q78"/>
  <sheetViews>
    <sheetView topLeftCell="A56" zoomScaleNormal="100" workbookViewId="0">
      <selection activeCell="I59" sqref="I59"/>
    </sheetView>
  </sheetViews>
  <sheetFormatPr defaultColWidth="9.140625" defaultRowHeight="15"/>
  <cols>
    <col min="1" max="1" width="25.5703125" customWidth="1"/>
    <col min="2" max="2" width="20.85546875" hidden="1" customWidth="1"/>
    <col min="3" max="3" width="25.85546875" hidden="1" customWidth="1"/>
    <col min="4" max="4" width="18.42578125" hidden="1" customWidth="1"/>
    <col min="5" max="6" width="12.42578125" hidden="1" customWidth="1"/>
    <col min="7" max="7" width="9.140625" customWidth="1"/>
    <col min="8" max="8" width="48.7109375" customWidth="1"/>
    <col min="9" max="10" width="15" customWidth="1"/>
    <col min="11" max="11" width="13.28515625" customWidth="1"/>
    <col min="12" max="12" width="29.5703125" customWidth="1"/>
    <col min="13" max="13" width="60.42578125" style="125" customWidth="1"/>
    <col min="14" max="14" width="9.140625" customWidth="1"/>
    <col min="15" max="15" width="15.42578125" customWidth="1"/>
    <col min="16" max="16" width="16.140625" customWidth="1"/>
  </cols>
  <sheetData>
    <row r="1" spans="1:14">
      <c r="A1" s="152" t="s">
        <v>19</v>
      </c>
    </row>
    <row r="3" spans="1:14" ht="15.75">
      <c r="B3" s="11"/>
      <c r="C3" s="12"/>
      <c r="D3" s="12"/>
      <c r="E3" s="11"/>
      <c r="F3" s="11"/>
      <c r="G3" s="11"/>
      <c r="H3" s="274" t="s">
        <v>34</v>
      </c>
      <c r="I3" s="275"/>
      <c r="J3" s="275"/>
      <c r="K3" s="275"/>
      <c r="L3" s="276"/>
    </row>
    <row r="4" spans="1:14">
      <c r="B4" s="11"/>
      <c r="C4" s="11"/>
      <c r="D4" s="11"/>
      <c r="E4" s="11"/>
      <c r="F4" s="11"/>
      <c r="G4" s="11"/>
      <c r="H4" s="277" t="s">
        <v>21</v>
      </c>
      <c r="I4" s="248"/>
      <c r="J4" s="248"/>
      <c r="K4" s="248"/>
      <c r="L4" s="278"/>
    </row>
    <row r="5" spans="1:14" ht="24">
      <c r="B5" s="17"/>
      <c r="C5" s="18"/>
      <c r="D5" s="17"/>
      <c r="E5" s="11"/>
      <c r="F5" s="11"/>
      <c r="G5" s="11"/>
      <c r="H5" s="166" t="s">
        <v>22</v>
      </c>
      <c r="I5" s="251" t="s">
        <v>35</v>
      </c>
      <c r="J5" s="251"/>
      <c r="K5" s="196" t="s">
        <v>36</v>
      </c>
      <c r="L5" s="167" t="s">
        <v>37</v>
      </c>
    </row>
    <row r="6" spans="1:14">
      <c r="B6" s="11"/>
      <c r="C6" s="22"/>
      <c r="D6" s="11"/>
      <c r="E6" s="11"/>
      <c r="F6" s="11"/>
      <c r="G6" s="11"/>
      <c r="H6" s="168" t="s">
        <v>6</v>
      </c>
      <c r="I6" s="253">
        <f>'Table 2'!D6</f>
        <v>3255015</v>
      </c>
      <c r="J6" s="253"/>
      <c r="K6" s="193" t="s">
        <v>38</v>
      </c>
      <c r="L6" s="169" t="s">
        <v>39</v>
      </c>
    </row>
    <row r="7" spans="1:14">
      <c r="B7" s="11"/>
      <c r="C7" s="22"/>
      <c r="D7" s="11"/>
      <c r="E7" s="11"/>
      <c r="F7" s="11"/>
      <c r="G7" s="11"/>
      <c r="H7" s="168" t="s">
        <v>26</v>
      </c>
      <c r="I7" s="253">
        <f>'Table 2'!D7</f>
        <v>6430614.2300000004</v>
      </c>
      <c r="J7" s="253"/>
      <c r="K7" s="194" t="s">
        <v>38</v>
      </c>
      <c r="L7" s="169" t="s">
        <v>40</v>
      </c>
    </row>
    <row r="8" spans="1:14">
      <c r="B8" s="11"/>
      <c r="C8" s="11"/>
      <c r="D8" s="11"/>
      <c r="E8" s="11"/>
      <c r="F8" s="11"/>
      <c r="G8" s="11"/>
      <c r="H8" s="168" t="s">
        <v>8</v>
      </c>
      <c r="I8" s="255">
        <f>'Table 2'!D8</f>
        <v>1363345</v>
      </c>
      <c r="J8" s="255"/>
      <c r="K8" s="195" t="s">
        <v>38</v>
      </c>
      <c r="L8" s="169" t="s">
        <v>41</v>
      </c>
    </row>
    <row r="9" spans="1:14">
      <c r="B9" s="11"/>
      <c r="C9" s="11"/>
      <c r="D9" s="11"/>
      <c r="E9" s="11"/>
      <c r="F9" s="11"/>
      <c r="G9" s="11"/>
      <c r="H9" s="170" t="s">
        <v>27</v>
      </c>
      <c r="I9" s="257">
        <f t="shared" ref="I9" si="0">SUM(I6:J8)</f>
        <v>11048974.23</v>
      </c>
      <c r="J9" s="257"/>
      <c r="K9" s="197"/>
      <c r="L9" s="171"/>
    </row>
    <row r="10" spans="1:14">
      <c r="B10" s="11"/>
      <c r="C10" s="11"/>
      <c r="D10" s="11"/>
      <c r="E10" s="11"/>
      <c r="F10" s="11"/>
      <c r="G10" s="11"/>
      <c r="H10" s="279" t="s">
        <v>28</v>
      </c>
      <c r="I10" s="259"/>
      <c r="J10" s="259"/>
      <c r="K10" s="259"/>
      <c r="L10" s="280"/>
    </row>
    <row r="11" spans="1:14">
      <c r="B11" s="11"/>
      <c r="C11" s="11"/>
      <c r="D11" s="11"/>
      <c r="E11" s="11"/>
      <c r="F11" s="11"/>
      <c r="G11" s="11"/>
      <c r="H11" s="172" t="s">
        <v>22</v>
      </c>
      <c r="I11" s="251" t="s">
        <v>35</v>
      </c>
      <c r="J11" s="251"/>
      <c r="K11" s="28"/>
      <c r="L11" s="167" t="s">
        <v>37</v>
      </c>
    </row>
    <row r="12" spans="1:14">
      <c r="B12" s="159"/>
      <c r="C12" s="160"/>
      <c r="D12" s="11"/>
      <c r="E12" s="11"/>
      <c r="F12" s="11"/>
      <c r="G12" s="11"/>
      <c r="H12" s="168" t="s">
        <v>6</v>
      </c>
      <c r="I12" s="262">
        <f>'Table 1'!D6</f>
        <v>1621094.1</v>
      </c>
      <c r="J12" s="262"/>
      <c r="K12" s="30"/>
      <c r="L12" s="169" t="s">
        <v>42</v>
      </c>
    </row>
    <row r="13" spans="1:14">
      <c r="B13" s="159"/>
      <c r="C13" s="159"/>
      <c r="D13" s="11"/>
      <c r="E13" s="11"/>
      <c r="F13" s="11"/>
      <c r="G13" s="11"/>
      <c r="H13" s="168" t="s">
        <v>26</v>
      </c>
      <c r="I13" s="262">
        <f>'Table 1'!E6</f>
        <v>1720759.9</v>
      </c>
      <c r="J13" s="262"/>
      <c r="K13" s="30"/>
      <c r="L13" s="169" t="s">
        <v>43</v>
      </c>
      <c r="N13" s="123"/>
    </row>
    <row r="14" spans="1:14">
      <c r="B14" s="11"/>
      <c r="C14" s="11"/>
      <c r="D14" s="11"/>
      <c r="E14" s="11"/>
      <c r="F14" s="11"/>
      <c r="G14" s="11"/>
      <c r="H14" s="168" t="s">
        <v>8</v>
      </c>
      <c r="I14" s="262">
        <f>'Table 1'!F6+1280000</f>
        <v>1734448</v>
      </c>
      <c r="J14" s="262"/>
      <c r="K14" s="30"/>
      <c r="L14" s="169" t="s">
        <v>44</v>
      </c>
    </row>
    <row r="15" spans="1:14">
      <c r="B15" s="11"/>
      <c r="C15" s="11"/>
      <c r="D15" s="11"/>
      <c r="E15" s="11"/>
      <c r="F15" s="11"/>
      <c r="G15" s="11"/>
      <c r="H15" s="173" t="s">
        <v>29</v>
      </c>
      <c r="I15" s="264">
        <f t="shared" ref="I15" si="1">SUM(I12:J14)</f>
        <v>5076302</v>
      </c>
      <c r="J15" s="264"/>
      <c r="K15" s="32"/>
      <c r="L15" s="169" t="s">
        <v>45</v>
      </c>
    </row>
    <row r="16" spans="1:14">
      <c r="B16" s="11"/>
      <c r="C16" s="161"/>
      <c r="D16" s="162"/>
      <c r="E16" s="162"/>
      <c r="F16" s="162"/>
      <c r="G16" s="11"/>
      <c r="H16" s="174" t="s">
        <v>46</v>
      </c>
      <c r="I16" s="96" t="s">
        <v>35</v>
      </c>
      <c r="J16" s="295" t="s">
        <v>37</v>
      </c>
      <c r="K16" s="295"/>
      <c r="L16" s="296"/>
    </row>
    <row r="17" spans="2:17" ht="26.25" customHeight="1">
      <c r="B17" s="11"/>
      <c r="C17" s="163"/>
      <c r="D17" s="164"/>
      <c r="E17" s="165"/>
      <c r="F17" s="165"/>
      <c r="G17" s="11"/>
      <c r="H17" s="175" t="s">
        <v>47</v>
      </c>
      <c r="I17" s="130">
        <f>C44+150000+454448</f>
        <v>1706981</v>
      </c>
      <c r="J17" s="290" t="s">
        <v>48</v>
      </c>
      <c r="K17" s="290"/>
      <c r="L17" s="291"/>
    </row>
    <row r="18" spans="2:17" ht="23.25" customHeight="1">
      <c r="B18" s="11"/>
      <c r="C18" s="33"/>
      <c r="D18" s="11"/>
      <c r="E18" s="11"/>
      <c r="F18" s="11"/>
      <c r="G18" s="11"/>
      <c r="H18" s="175" t="s">
        <v>49</v>
      </c>
      <c r="I18" s="154">
        <f>1390000</f>
        <v>1390000</v>
      </c>
      <c r="J18" s="290" t="s">
        <v>50</v>
      </c>
      <c r="K18" s="290"/>
      <c r="L18" s="291"/>
    </row>
    <row r="19" spans="2:17" ht="31.5" customHeight="1">
      <c r="B19" s="11"/>
      <c r="C19" s="33"/>
      <c r="D19" s="11"/>
      <c r="E19" s="11"/>
      <c r="F19" s="11"/>
      <c r="G19" s="11"/>
      <c r="H19" s="175" t="s">
        <v>51</v>
      </c>
      <c r="I19" s="154">
        <v>5000</v>
      </c>
      <c r="J19" s="290" t="s">
        <v>52</v>
      </c>
      <c r="K19" s="290"/>
      <c r="L19" s="291"/>
    </row>
    <row r="20" spans="2:17" ht="24">
      <c r="B20" s="11"/>
      <c r="C20" s="33"/>
      <c r="D20" s="11"/>
      <c r="E20" s="11"/>
      <c r="F20" s="11"/>
      <c r="G20" s="11"/>
      <c r="H20" s="176" t="s">
        <v>53</v>
      </c>
      <c r="I20" s="115">
        <f>SUM(J21:J28)</f>
        <v>1904176</v>
      </c>
      <c r="J20" s="97" t="s">
        <v>54</v>
      </c>
      <c r="K20" s="98" t="s">
        <v>36</v>
      </c>
      <c r="L20" s="177" t="s">
        <v>37</v>
      </c>
    </row>
    <row r="21" spans="2:17">
      <c r="B21" s="11"/>
      <c r="C21" s="11"/>
      <c r="D21" s="11"/>
      <c r="E21" s="11"/>
      <c r="F21" s="11"/>
      <c r="G21" s="11"/>
      <c r="H21" s="178"/>
      <c r="I21" s="156"/>
      <c r="J21" s="155">
        <v>21000</v>
      </c>
      <c r="K21" s="225" t="s">
        <v>38</v>
      </c>
      <c r="L21" s="179" t="s">
        <v>55</v>
      </c>
    </row>
    <row r="22" spans="2:17">
      <c r="B22" s="11"/>
      <c r="C22" s="11"/>
      <c r="D22" s="11"/>
      <c r="E22" s="11"/>
      <c r="F22" s="11"/>
      <c r="G22" s="11"/>
      <c r="H22" s="180"/>
      <c r="I22" s="37"/>
      <c r="J22" s="113">
        <f>72000+1676</f>
        <v>73676</v>
      </c>
      <c r="K22" s="36" t="s">
        <v>38</v>
      </c>
      <c r="L22" s="181" t="s">
        <v>56</v>
      </c>
    </row>
    <row r="23" spans="2:17">
      <c r="B23" s="11"/>
      <c r="C23" s="11"/>
      <c r="D23" s="11"/>
      <c r="E23" s="11"/>
      <c r="F23" s="11"/>
      <c r="G23" s="11"/>
      <c r="H23" s="180"/>
      <c r="I23" s="37"/>
      <c r="J23" s="113">
        <v>4000</v>
      </c>
      <c r="K23" s="36" t="s">
        <v>38</v>
      </c>
      <c r="L23" s="169" t="s">
        <v>57</v>
      </c>
    </row>
    <row r="24" spans="2:17">
      <c r="B24" s="11"/>
      <c r="C24" s="33"/>
      <c r="D24" s="11"/>
      <c r="E24" s="11"/>
      <c r="F24" s="11"/>
      <c r="G24" s="11"/>
      <c r="H24" s="182"/>
      <c r="I24" s="34"/>
      <c r="J24" s="113">
        <v>162000</v>
      </c>
      <c r="K24" s="38"/>
      <c r="L24" s="169" t="s">
        <v>58</v>
      </c>
    </row>
    <row r="25" spans="2:17">
      <c r="B25" s="11"/>
      <c r="C25" s="33"/>
      <c r="D25" s="11"/>
      <c r="E25" s="11"/>
      <c r="F25" s="11"/>
      <c r="G25" s="11"/>
      <c r="H25" s="182"/>
      <c r="I25" s="34"/>
      <c r="J25" s="113">
        <v>1280000</v>
      </c>
      <c r="K25" s="38"/>
      <c r="L25" s="169" t="s">
        <v>59</v>
      </c>
    </row>
    <row r="26" spans="2:17" ht="18.75" customHeight="1">
      <c r="B26" s="11"/>
      <c r="C26" s="33"/>
      <c r="D26" s="11"/>
      <c r="E26" s="11"/>
      <c r="F26" s="11"/>
      <c r="G26" s="11"/>
      <c r="H26" s="182"/>
      <c r="I26" s="34"/>
      <c r="J26" s="112">
        <v>200000</v>
      </c>
      <c r="K26" s="38"/>
      <c r="L26" s="169" t="s">
        <v>60</v>
      </c>
    </row>
    <row r="27" spans="2:17" ht="24">
      <c r="B27" s="11"/>
      <c r="C27" s="22"/>
      <c r="D27" s="11"/>
      <c r="E27" s="11"/>
      <c r="F27" s="11"/>
      <c r="G27" s="11"/>
      <c r="H27" s="183"/>
      <c r="I27" s="37"/>
      <c r="J27" s="112">
        <v>20000</v>
      </c>
      <c r="K27" s="39"/>
      <c r="L27" s="169" t="s">
        <v>61</v>
      </c>
      <c r="Q27" s="132"/>
    </row>
    <row r="28" spans="2:17" ht="36">
      <c r="B28" s="11"/>
      <c r="C28" s="22"/>
      <c r="D28" s="11"/>
      <c r="E28" s="11"/>
      <c r="F28" s="11"/>
      <c r="G28" s="11"/>
      <c r="H28" s="184"/>
      <c r="I28" s="40"/>
      <c r="J28" s="112">
        <f>10000+6000+126500+1000</f>
        <v>143500</v>
      </c>
      <c r="K28" s="41"/>
      <c r="L28" s="169" t="s">
        <v>62</v>
      </c>
    </row>
    <row r="29" spans="2:17">
      <c r="B29" s="11"/>
      <c r="C29" s="33"/>
      <c r="D29" s="11"/>
      <c r="E29" s="11"/>
      <c r="F29" s="11"/>
      <c r="G29" s="11"/>
      <c r="H29" s="185" t="s">
        <v>63</v>
      </c>
      <c r="I29" s="99">
        <f>SUM(J29:J32)</f>
        <v>70145</v>
      </c>
      <c r="J29" s="113">
        <v>1200</v>
      </c>
      <c r="K29" s="39"/>
      <c r="L29" s="169" t="s">
        <v>64</v>
      </c>
    </row>
    <row r="30" spans="2:17">
      <c r="B30" s="11"/>
      <c r="C30" s="22"/>
      <c r="D30" s="11"/>
      <c r="E30" s="11"/>
      <c r="F30" s="11"/>
      <c r="G30" s="11"/>
      <c r="H30" s="186"/>
      <c r="I30" s="42"/>
      <c r="J30" s="113">
        <v>50945</v>
      </c>
      <c r="K30" s="39"/>
      <c r="L30" s="169" t="s">
        <v>65</v>
      </c>
    </row>
    <row r="31" spans="2:17">
      <c r="B31" s="11"/>
      <c r="C31" s="33"/>
      <c r="D31" s="11"/>
      <c r="E31" s="11"/>
      <c r="F31" s="11"/>
      <c r="G31" s="11"/>
      <c r="H31" s="183"/>
      <c r="I31" s="43"/>
      <c r="J31" s="113">
        <f>13000</f>
        <v>13000</v>
      </c>
      <c r="K31" s="39"/>
      <c r="L31" s="169" t="s">
        <v>66</v>
      </c>
    </row>
    <row r="32" spans="2:17">
      <c r="B32" s="11"/>
      <c r="C32" s="11"/>
      <c r="D32" s="11"/>
      <c r="E32" s="11"/>
      <c r="F32" s="11"/>
      <c r="G32" s="11"/>
      <c r="H32" s="184"/>
      <c r="I32" s="44"/>
      <c r="J32" s="113">
        <v>5000</v>
      </c>
      <c r="K32" s="45"/>
      <c r="L32" s="169" t="s">
        <v>67</v>
      </c>
    </row>
    <row r="33" spans="2:12">
      <c r="B33" s="49"/>
      <c r="C33" s="50"/>
      <c r="D33" s="11"/>
      <c r="E33" s="11"/>
      <c r="F33" s="11"/>
      <c r="G33" s="11"/>
      <c r="H33" s="187" t="s">
        <v>27</v>
      </c>
      <c r="I33" s="48">
        <f t="shared" ref="I33" si="2">I9</f>
        <v>11048974.23</v>
      </c>
      <c r="J33" s="292"/>
      <c r="K33" s="293"/>
      <c r="L33" s="294"/>
    </row>
    <row r="34" spans="2:12">
      <c r="B34" s="11"/>
      <c r="C34" s="11"/>
      <c r="D34" s="11"/>
      <c r="E34" s="11"/>
      <c r="F34" s="11"/>
      <c r="G34" s="11"/>
      <c r="H34" s="188" t="s">
        <v>68</v>
      </c>
      <c r="I34" s="46">
        <f>SUM(I17:I32)</f>
        <v>5076302</v>
      </c>
      <c r="J34" s="287" t="s">
        <v>69</v>
      </c>
      <c r="K34" s="288"/>
      <c r="L34" s="289"/>
    </row>
    <row r="35" spans="2:12">
      <c r="B35" s="11"/>
      <c r="C35" s="11"/>
      <c r="D35" s="11"/>
      <c r="E35" s="11"/>
      <c r="F35" s="11"/>
      <c r="G35" s="11"/>
      <c r="H35" s="190" t="s">
        <v>31</v>
      </c>
      <c r="I35" s="52">
        <f>'Table 2'!D17</f>
        <v>690634</v>
      </c>
      <c r="J35" s="287" t="s">
        <v>70</v>
      </c>
      <c r="K35" s="288"/>
      <c r="L35" s="289"/>
    </row>
    <row r="36" spans="2:12">
      <c r="B36" s="49"/>
      <c r="C36" s="50"/>
      <c r="D36" s="11"/>
      <c r="E36" s="11"/>
      <c r="F36" s="11"/>
      <c r="G36" s="11"/>
      <c r="H36" s="190" t="s">
        <v>15</v>
      </c>
      <c r="I36" s="52">
        <v>96251</v>
      </c>
      <c r="J36" s="287" t="s">
        <v>71</v>
      </c>
      <c r="K36" s="288"/>
      <c r="L36" s="289"/>
    </row>
    <row r="37" spans="2:12">
      <c r="B37" s="49"/>
      <c r="C37" s="50"/>
      <c r="D37" s="11"/>
      <c r="E37" s="11"/>
      <c r="F37" s="11"/>
      <c r="G37" s="11"/>
      <c r="H37" s="190" t="s">
        <v>16</v>
      </c>
      <c r="I37" s="126">
        <v>45989</v>
      </c>
      <c r="J37" s="120" t="s">
        <v>72</v>
      </c>
      <c r="K37" s="121"/>
      <c r="L37" s="189"/>
    </row>
    <row r="38" spans="2:12">
      <c r="B38" s="5"/>
      <c r="C38" s="11"/>
      <c r="D38" s="11"/>
      <c r="E38" s="11"/>
      <c r="F38" s="11"/>
      <c r="G38" s="11"/>
      <c r="H38" s="191" t="s">
        <v>73</v>
      </c>
      <c r="I38" s="192">
        <f>SUM(I33:I37)</f>
        <v>16958150.23</v>
      </c>
      <c r="J38" s="281" t="s">
        <v>74</v>
      </c>
      <c r="K38" s="282"/>
      <c r="L38" s="283"/>
    </row>
    <row r="42" spans="2:12">
      <c r="C42" s="298" t="s">
        <v>75</v>
      </c>
      <c r="D42" s="298"/>
      <c r="E42" s="298"/>
      <c r="F42" s="298"/>
    </row>
    <row r="43" spans="2:12" ht="15.75">
      <c r="C43" s="146" t="s">
        <v>76</v>
      </c>
      <c r="D43" s="146"/>
      <c r="E43" s="146" t="s">
        <v>7</v>
      </c>
      <c r="F43" s="146" t="s">
        <v>6</v>
      </c>
      <c r="H43" s="274" t="s">
        <v>77</v>
      </c>
      <c r="I43" s="284"/>
      <c r="J43" s="284"/>
      <c r="K43" s="284"/>
      <c r="L43" s="285"/>
    </row>
    <row r="44" spans="2:12">
      <c r="C44" s="147">
        <v>1102533</v>
      </c>
      <c r="D44" s="146"/>
      <c r="E44" s="147">
        <f>0.3*C44</f>
        <v>330759.89999999997</v>
      </c>
      <c r="F44" s="147">
        <f>0.7*C44</f>
        <v>771773.1</v>
      </c>
      <c r="H44" s="277" t="s">
        <v>21</v>
      </c>
      <c r="I44" s="249"/>
      <c r="J44" s="249"/>
      <c r="K44" s="249"/>
      <c r="L44" s="286"/>
    </row>
    <row r="45" spans="2:12" ht="24">
      <c r="B45" s="148" t="s">
        <v>78</v>
      </c>
      <c r="C45" s="147">
        <f>C44*1.03</f>
        <v>1135608.99</v>
      </c>
      <c r="D45" s="146"/>
      <c r="E45" s="147">
        <f>C45*0.3</f>
        <v>340682.69699999999</v>
      </c>
      <c r="F45" s="147">
        <f>C45*0.7</f>
        <v>794926.29299999995</v>
      </c>
      <c r="H45" s="166" t="s">
        <v>22</v>
      </c>
      <c r="I45" s="251" t="s">
        <v>35</v>
      </c>
      <c r="J45" s="252"/>
      <c r="K45" s="6" t="s">
        <v>36</v>
      </c>
      <c r="L45" s="167" t="s">
        <v>37</v>
      </c>
    </row>
    <row r="46" spans="2:12">
      <c r="H46" s="168" t="s">
        <v>6</v>
      </c>
      <c r="I46" s="253">
        <f>'Table 2'!F6</f>
        <v>4564809</v>
      </c>
      <c r="J46" s="254"/>
      <c r="K46" s="20" t="s">
        <v>38</v>
      </c>
      <c r="L46" s="169" t="s">
        <v>39</v>
      </c>
    </row>
    <row r="47" spans="2:12">
      <c r="H47" s="168" t="s">
        <v>26</v>
      </c>
      <c r="I47" s="253">
        <f>'Table 2'!F7</f>
        <v>8531516.0600000005</v>
      </c>
      <c r="J47" s="254"/>
      <c r="K47" s="20" t="s">
        <v>38</v>
      </c>
      <c r="L47" s="169" t="s">
        <v>40</v>
      </c>
    </row>
    <row r="48" spans="2:12">
      <c r="H48" s="168" t="s">
        <v>8</v>
      </c>
      <c r="I48" s="253">
        <f>'Table 2'!F8</f>
        <v>1500426</v>
      </c>
      <c r="J48" s="254"/>
      <c r="K48" s="20" t="s">
        <v>38</v>
      </c>
      <c r="L48" s="169" t="s">
        <v>41</v>
      </c>
    </row>
    <row r="49" spans="3:15">
      <c r="H49" s="170" t="s">
        <v>27</v>
      </c>
      <c r="I49" s="257">
        <f t="shared" ref="I49" si="3">SUM(I46:J48)</f>
        <v>14596751.060000001</v>
      </c>
      <c r="J49" s="258"/>
      <c r="K49" s="24"/>
      <c r="L49" s="171"/>
    </row>
    <row r="50" spans="3:15">
      <c r="H50" s="279" t="s">
        <v>28</v>
      </c>
      <c r="I50" s="260"/>
      <c r="J50" s="260"/>
      <c r="K50" s="260"/>
      <c r="L50" s="297"/>
    </row>
    <row r="51" spans="3:15">
      <c r="C51" s="161"/>
      <c r="D51" s="162"/>
      <c r="E51" s="162"/>
      <c r="F51" s="162"/>
      <c r="H51" s="172" t="s">
        <v>22</v>
      </c>
      <c r="I51" s="251" t="s">
        <v>35</v>
      </c>
      <c r="J51" s="252"/>
      <c r="K51" s="28"/>
      <c r="L51" s="167" t="s">
        <v>37</v>
      </c>
    </row>
    <row r="52" spans="3:15">
      <c r="C52" s="163"/>
      <c r="D52" s="164"/>
      <c r="E52" s="165"/>
      <c r="F52" s="165"/>
      <c r="H52" s="168" t="s">
        <v>6</v>
      </c>
      <c r="I52" s="262">
        <f>'Table 1'!H6</f>
        <v>1669726.9230000002</v>
      </c>
      <c r="J52" s="263"/>
      <c r="K52" s="30"/>
      <c r="L52" s="169" t="s">
        <v>42</v>
      </c>
    </row>
    <row r="53" spans="3:15" ht="15" customHeight="1">
      <c r="H53" s="168" t="s">
        <v>26</v>
      </c>
      <c r="I53" s="262">
        <f>'Table 1'!I6</f>
        <v>1852249.6969999999</v>
      </c>
      <c r="J53" s="263"/>
      <c r="K53" s="30"/>
      <c r="L53" s="169" t="s">
        <v>43</v>
      </c>
    </row>
    <row r="54" spans="3:15" ht="15" customHeight="1">
      <c r="H54" s="168" t="s">
        <v>8</v>
      </c>
      <c r="I54" s="262">
        <f>'Table 1'!J6</f>
        <v>500142</v>
      </c>
      <c r="J54" s="263"/>
      <c r="K54" s="30"/>
      <c r="L54" s="169" t="s">
        <v>44</v>
      </c>
    </row>
    <row r="55" spans="3:15" ht="15" customHeight="1">
      <c r="C55" s="124"/>
      <c r="E55" s="124"/>
      <c r="F55" s="124"/>
      <c r="H55" s="173" t="s">
        <v>29</v>
      </c>
      <c r="I55" s="264">
        <f t="shared" ref="I55" si="4">SUM(I52:J54)</f>
        <v>4022118.62</v>
      </c>
      <c r="J55" s="265"/>
      <c r="K55" s="32"/>
      <c r="L55" s="169" t="s">
        <v>45</v>
      </c>
    </row>
    <row r="56" spans="3:15" ht="32.25" customHeight="1">
      <c r="C56" s="124"/>
      <c r="E56" s="124"/>
      <c r="F56" s="124"/>
      <c r="H56" s="174" t="s">
        <v>46</v>
      </c>
      <c r="I56" s="96" t="s">
        <v>35</v>
      </c>
      <c r="J56" s="295" t="s">
        <v>37</v>
      </c>
      <c r="K56" s="307"/>
      <c r="L56" s="308"/>
    </row>
    <row r="57" spans="3:15" ht="34.5" customHeight="1">
      <c r="H57" s="175" t="s">
        <v>47</v>
      </c>
      <c r="I57" s="149">
        <f>C45+'Table 2'!F14+(150000*1.03)</f>
        <v>1790250.99</v>
      </c>
      <c r="J57" s="290" t="s">
        <v>48</v>
      </c>
      <c r="K57" s="305"/>
      <c r="L57" s="306"/>
      <c r="O57" s="124"/>
    </row>
    <row r="58" spans="3:15" ht="28.5" customHeight="1">
      <c r="H58" s="175" t="s">
        <v>49</v>
      </c>
      <c r="I58" s="149">
        <f>'Table 1'!I6-'Appendix Table 2 details'!E45</f>
        <v>1511567</v>
      </c>
      <c r="J58" s="290" t="s">
        <v>50</v>
      </c>
      <c r="K58" s="305"/>
      <c r="L58" s="306"/>
      <c r="O58" s="157"/>
    </row>
    <row r="59" spans="3:15" ht="27" customHeight="1">
      <c r="H59" s="175" t="s">
        <v>51</v>
      </c>
      <c r="I59" s="114">
        <f>I19*1.03</f>
        <v>5150</v>
      </c>
      <c r="J59" s="290" t="s">
        <v>52</v>
      </c>
      <c r="K59" s="305"/>
      <c r="L59" s="306"/>
      <c r="O59" s="157"/>
    </row>
    <row r="60" spans="3:15" ht="24">
      <c r="H60" s="176" t="s">
        <v>53</v>
      </c>
      <c r="I60" s="115">
        <f>SUM(J61:J67)</f>
        <v>642901.28</v>
      </c>
      <c r="J60" s="97" t="s">
        <v>54</v>
      </c>
      <c r="K60" s="98" t="s">
        <v>36</v>
      </c>
      <c r="L60" s="177" t="s">
        <v>37</v>
      </c>
    </row>
    <row r="61" spans="3:15">
      <c r="H61" s="198"/>
      <c r="I61" s="34"/>
      <c r="J61" s="35">
        <f>J21*1.03</f>
        <v>21630</v>
      </c>
      <c r="K61" s="36" t="s">
        <v>38</v>
      </c>
      <c r="L61" s="169" t="s">
        <v>55</v>
      </c>
    </row>
    <row r="62" spans="3:15">
      <c r="H62" s="180"/>
      <c r="I62" s="37"/>
      <c r="J62" s="35">
        <f>J22*1.03</f>
        <v>75886.28</v>
      </c>
      <c r="K62" s="36" t="s">
        <v>38</v>
      </c>
      <c r="L62" s="181" t="s">
        <v>56</v>
      </c>
    </row>
    <row r="63" spans="3:15">
      <c r="H63" s="180"/>
      <c r="I63" s="37"/>
      <c r="J63" s="35">
        <f>J23*1.03</f>
        <v>4120</v>
      </c>
      <c r="K63" s="36" t="s">
        <v>38</v>
      </c>
      <c r="L63" s="169" t="s">
        <v>57</v>
      </c>
    </row>
    <row r="64" spans="3:15">
      <c r="H64" s="182"/>
      <c r="I64" s="34"/>
      <c r="J64" s="35">
        <f>J24*1.03</f>
        <v>166860</v>
      </c>
      <c r="K64" s="38"/>
      <c r="L64" s="169" t="s">
        <v>79</v>
      </c>
    </row>
    <row r="65" spans="8:16">
      <c r="H65" s="182"/>
      <c r="I65" s="34"/>
      <c r="J65" s="35">
        <f t="shared" ref="J65:J71" si="5">J26*1.03</f>
        <v>206000</v>
      </c>
      <c r="K65" s="38"/>
      <c r="L65" s="169" t="s">
        <v>60</v>
      </c>
    </row>
    <row r="66" spans="8:16" ht="24">
      <c r="H66" s="183"/>
      <c r="I66" s="37"/>
      <c r="J66" s="35">
        <f t="shared" si="5"/>
        <v>20600</v>
      </c>
      <c r="K66" s="39"/>
      <c r="L66" s="169" t="s">
        <v>61</v>
      </c>
    </row>
    <row r="67" spans="8:16">
      <c r="H67" s="184"/>
      <c r="I67" s="40"/>
      <c r="J67" s="35">
        <f t="shared" si="5"/>
        <v>147805</v>
      </c>
      <c r="K67" s="41"/>
      <c r="L67" s="169" t="s">
        <v>80</v>
      </c>
    </row>
    <row r="68" spans="8:16">
      <c r="H68" s="199" t="s">
        <v>63</v>
      </c>
      <c r="I68" s="100">
        <f t="shared" ref="I68" si="6">SUM(J68:J71)</f>
        <v>72249.350000000006</v>
      </c>
      <c r="J68" s="35">
        <f t="shared" si="5"/>
        <v>1236</v>
      </c>
      <c r="K68" s="39"/>
      <c r="L68" s="169" t="s">
        <v>64</v>
      </c>
    </row>
    <row r="69" spans="8:16">
      <c r="H69" s="186"/>
      <c r="I69" s="42"/>
      <c r="J69" s="35">
        <f t="shared" si="5"/>
        <v>52473.35</v>
      </c>
      <c r="K69" s="39"/>
      <c r="L69" s="169" t="s">
        <v>65</v>
      </c>
    </row>
    <row r="70" spans="8:16">
      <c r="H70" s="183"/>
      <c r="I70" s="43"/>
      <c r="J70" s="35">
        <f t="shared" si="5"/>
        <v>13390</v>
      </c>
      <c r="K70" s="39"/>
      <c r="L70" s="169" t="s">
        <v>66</v>
      </c>
    </row>
    <row r="71" spans="8:16">
      <c r="H71" s="184"/>
      <c r="I71" s="44"/>
      <c r="J71" s="35">
        <f t="shared" si="5"/>
        <v>5150</v>
      </c>
      <c r="K71" s="45"/>
      <c r="L71" s="169" t="s">
        <v>67</v>
      </c>
    </row>
    <row r="72" spans="8:16">
      <c r="H72" s="187" t="s">
        <v>27</v>
      </c>
      <c r="I72" s="48">
        <f t="shared" ref="I72" si="7">I49</f>
        <v>14596751.060000001</v>
      </c>
      <c r="J72" s="299"/>
      <c r="K72" s="300"/>
      <c r="L72" s="301"/>
    </row>
    <row r="73" spans="8:16">
      <c r="H73" s="188" t="s">
        <v>68</v>
      </c>
      <c r="I73" s="46">
        <f>SUM(I57:I71)</f>
        <v>4022118.6200000006</v>
      </c>
      <c r="J73" s="287" t="s">
        <v>69</v>
      </c>
      <c r="K73" s="288"/>
      <c r="L73" s="289"/>
      <c r="P73" s="123"/>
    </row>
    <row r="74" spans="8:16">
      <c r="H74" s="190" t="s">
        <v>31</v>
      </c>
      <c r="I74" s="116">
        <f>'Table 2'!F17</f>
        <v>690634</v>
      </c>
      <c r="J74" s="302" t="s">
        <v>70</v>
      </c>
      <c r="K74" s="303"/>
      <c r="L74" s="304"/>
      <c r="P74" s="157"/>
    </row>
    <row r="75" spans="8:16">
      <c r="H75" s="190" t="s">
        <v>15</v>
      </c>
      <c r="I75" s="52">
        <f>'Table 2'!F18</f>
        <v>198277.06</v>
      </c>
      <c r="J75" s="287" t="s">
        <v>71</v>
      </c>
      <c r="K75" s="288"/>
      <c r="L75" s="289"/>
    </row>
    <row r="76" spans="8:16">
      <c r="H76" s="190" t="s">
        <v>16</v>
      </c>
      <c r="I76" s="52">
        <f>'Table 2'!F19</f>
        <v>229945</v>
      </c>
      <c r="J76" s="287" t="s">
        <v>81</v>
      </c>
      <c r="K76" s="288"/>
      <c r="L76" s="289"/>
    </row>
    <row r="77" spans="8:16">
      <c r="H77" s="191" t="s">
        <v>73</v>
      </c>
      <c r="I77" s="192">
        <f t="shared" ref="I77" si="8">SUM(I72:I76)</f>
        <v>19737725.739999998</v>
      </c>
      <c r="J77" s="281" t="s">
        <v>74</v>
      </c>
      <c r="K77" s="282"/>
      <c r="L77" s="283"/>
    </row>
    <row r="78" spans="8:16">
      <c r="H78" t="s">
        <v>82</v>
      </c>
    </row>
  </sheetData>
  <mergeCells count="46">
    <mergeCell ref="C42:F42"/>
    <mergeCell ref="J75:L75"/>
    <mergeCell ref="J76:L76"/>
    <mergeCell ref="J77:L77"/>
    <mergeCell ref="J72:L72"/>
    <mergeCell ref="J73:L73"/>
    <mergeCell ref="J74:L74"/>
    <mergeCell ref="J57:L57"/>
    <mergeCell ref="J58:L58"/>
    <mergeCell ref="J59:L59"/>
    <mergeCell ref="I54:J54"/>
    <mergeCell ref="I55:J55"/>
    <mergeCell ref="J56:L56"/>
    <mergeCell ref="I51:J51"/>
    <mergeCell ref="I52:J52"/>
    <mergeCell ref="I53:J53"/>
    <mergeCell ref="I48:J48"/>
    <mergeCell ref="I49:J49"/>
    <mergeCell ref="H50:L50"/>
    <mergeCell ref="I45:J45"/>
    <mergeCell ref="I46:J46"/>
    <mergeCell ref="I47:J47"/>
    <mergeCell ref="H44:L44"/>
    <mergeCell ref="I13:J13"/>
    <mergeCell ref="I14:J14"/>
    <mergeCell ref="J34:L34"/>
    <mergeCell ref="J35:L35"/>
    <mergeCell ref="J36:L36"/>
    <mergeCell ref="J18:L18"/>
    <mergeCell ref="J19:L19"/>
    <mergeCell ref="J33:L33"/>
    <mergeCell ref="J16:L16"/>
    <mergeCell ref="J17:L17"/>
    <mergeCell ref="I12:J12"/>
    <mergeCell ref="J38:L38"/>
    <mergeCell ref="H43:L43"/>
    <mergeCell ref="I11:J11"/>
    <mergeCell ref="I6:J6"/>
    <mergeCell ref="I7:J7"/>
    <mergeCell ref="I8:J8"/>
    <mergeCell ref="I15:J15"/>
    <mergeCell ref="H3:L3"/>
    <mergeCell ref="H4:L4"/>
    <mergeCell ref="I5:J5"/>
    <mergeCell ref="I9:J9"/>
    <mergeCell ref="H10:L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AAC8-8594-4136-8ED3-34567C362D9A}">
  <sheetPr>
    <tabColor theme="9"/>
  </sheetPr>
  <dimension ref="A1:D25"/>
  <sheetViews>
    <sheetView topLeftCell="A2" workbookViewId="0">
      <selection activeCell="K8" sqref="K8"/>
    </sheetView>
  </sheetViews>
  <sheetFormatPr defaultRowHeight="15"/>
  <cols>
    <col min="2" max="2" width="24.5703125" customWidth="1"/>
    <col min="3" max="3" width="40.7109375" customWidth="1"/>
    <col min="4" max="4" width="39.85546875" customWidth="1"/>
  </cols>
  <sheetData>
    <row r="1" spans="1:4">
      <c r="A1" s="316" t="s">
        <v>83</v>
      </c>
      <c r="B1" s="316"/>
      <c r="C1" s="316"/>
    </row>
    <row r="3" spans="1:4" ht="18">
      <c r="B3" s="313" t="s">
        <v>84</v>
      </c>
      <c r="C3" s="314"/>
      <c r="D3" s="315"/>
    </row>
    <row r="4" spans="1:4">
      <c r="B4" s="200"/>
      <c r="C4" s="63" t="s">
        <v>85</v>
      </c>
      <c r="D4" s="64" t="s">
        <v>86</v>
      </c>
    </row>
    <row r="5" spans="1:4">
      <c r="B5" s="309" t="s">
        <v>6</v>
      </c>
      <c r="C5" s="65" t="s">
        <v>87</v>
      </c>
      <c r="D5" s="66" t="s">
        <v>88</v>
      </c>
    </row>
    <row r="6" spans="1:4">
      <c r="B6" s="310"/>
      <c r="C6" s="65" t="s">
        <v>89</v>
      </c>
      <c r="D6" s="68" t="s">
        <v>90</v>
      </c>
    </row>
    <row r="7" spans="1:4" ht="38.25">
      <c r="B7" s="310"/>
      <c r="C7" s="65" t="s">
        <v>91</v>
      </c>
      <c r="D7" s="66" t="s">
        <v>92</v>
      </c>
    </row>
    <row r="8" spans="1:4">
      <c r="B8" s="310"/>
      <c r="C8" s="65" t="s">
        <v>93</v>
      </c>
      <c r="D8" s="68" t="s">
        <v>94</v>
      </c>
    </row>
    <row r="9" spans="1:4">
      <c r="B9" s="310"/>
      <c r="C9" s="65" t="s">
        <v>95</v>
      </c>
      <c r="D9" s="66" t="s">
        <v>96</v>
      </c>
    </row>
    <row r="10" spans="1:4">
      <c r="B10" s="310"/>
      <c r="C10" s="65"/>
      <c r="D10" s="66" t="s">
        <v>97</v>
      </c>
    </row>
    <row r="11" spans="1:4" ht="25.5">
      <c r="B11" s="310"/>
      <c r="C11" s="222"/>
      <c r="D11" s="66" t="s">
        <v>98</v>
      </c>
    </row>
    <row r="12" spans="1:4">
      <c r="B12" s="310"/>
      <c r="C12" s="222"/>
      <c r="D12" s="66" t="s">
        <v>99</v>
      </c>
    </row>
    <row r="13" spans="1:4">
      <c r="B13" s="310"/>
      <c r="C13" s="222"/>
      <c r="D13" s="66" t="s">
        <v>100</v>
      </c>
    </row>
    <row r="14" spans="1:4">
      <c r="B14" s="311"/>
      <c r="C14" s="223"/>
      <c r="D14" s="67" t="s">
        <v>101</v>
      </c>
    </row>
    <row r="15" spans="1:4" ht="25.5">
      <c r="B15" s="309" t="s">
        <v>102</v>
      </c>
      <c r="C15" s="65" t="s">
        <v>103</v>
      </c>
      <c r="D15" s="68" t="s">
        <v>104</v>
      </c>
    </row>
    <row r="16" spans="1:4">
      <c r="B16" s="310"/>
      <c r="C16" s="65"/>
      <c r="D16" s="68" t="s">
        <v>94</v>
      </c>
    </row>
    <row r="17" spans="2:4" ht="38.25">
      <c r="B17" s="310"/>
      <c r="C17" s="65" t="s">
        <v>105</v>
      </c>
      <c r="D17" s="68" t="s">
        <v>106</v>
      </c>
    </row>
    <row r="18" spans="2:4" ht="25.5">
      <c r="B18" s="310"/>
      <c r="C18" s="65" t="s">
        <v>95</v>
      </c>
      <c r="D18" s="68" t="s">
        <v>107</v>
      </c>
    </row>
    <row r="19" spans="2:4">
      <c r="B19" s="310"/>
      <c r="C19" s="222"/>
      <c r="D19" s="68" t="s">
        <v>108</v>
      </c>
    </row>
    <row r="20" spans="2:4">
      <c r="B20" s="310"/>
      <c r="C20" s="222"/>
      <c r="D20" s="68" t="s">
        <v>109</v>
      </c>
    </row>
    <row r="21" spans="2:4">
      <c r="B21" s="310"/>
      <c r="C21" s="222"/>
      <c r="D21" s="68" t="s">
        <v>110</v>
      </c>
    </row>
    <row r="22" spans="2:4">
      <c r="B22" s="311"/>
      <c r="C22" s="223"/>
      <c r="D22" s="69" t="s">
        <v>111</v>
      </c>
    </row>
    <row r="23" spans="2:4">
      <c r="B23" s="309" t="s">
        <v>112</v>
      </c>
      <c r="C23" s="65" t="s">
        <v>113</v>
      </c>
      <c r="D23" s="68" t="s">
        <v>114</v>
      </c>
    </row>
    <row r="24" spans="2:4">
      <c r="B24" s="310"/>
      <c r="C24" s="65" t="s">
        <v>115</v>
      </c>
      <c r="D24" s="68" t="s">
        <v>108</v>
      </c>
    </row>
    <row r="25" spans="2:4" ht="25.5">
      <c r="B25" s="312"/>
      <c r="C25" s="201" t="s">
        <v>116</v>
      </c>
      <c r="D25" s="224" t="s">
        <v>94</v>
      </c>
    </row>
  </sheetData>
  <mergeCells count="5">
    <mergeCell ref="B5:B14"/>
    <mergeCell ref="B15:B22"/>
    <mergeCell ref="B23:B25"/>
    <mergeCell ref="B3:D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120F-4AA3-4CE6-A44E-7D11A53157E3}">
  <sheetPr>
    <tabColor theme="9"/>
  </sheetPr>
  <dimension ref="A1:F32"/>
  <sheetViews>
    <sheetView tabSelected="1" topLeftCell="A2" zoomScale="115" zoomScaleNormal="115" workbookViewId="0">
      <selection activeCell="C4" sqref="C4:F28"/>
    </sheetView>
  </sheetViews>
  <sheetFormatPr defaultRowHeight="15"/>
  <cols>
    <col min="1" max="2" width="9.140625" customWidth="1"/>
    <col min="3" max="3" width="17.7109375" customWidth="1"/>
    <col min="4" max="4" width="26.140625" customWidth="1"/>
    <col min="5" max="6" width="22.28515625" customWidth="1"/>
  </cols>
  <sheetData>
    <row r="1" spans="1:6">
      <c r="A1" s="152" t="s">
        <v>117</v>
      </c>
    </row>
    <row r="4" spans="1:6" ht="18">
      <c r="C4" s="317" t="s">
        <v>118</v>
      </c>
      <c r="D4" s="318"/>
      <c r="E4" s="318"/>
      <c r="F4" s="319"/>
    </row>
    <row r="5" spans="1:6">
      <c r="C5" s="200"/>
      <c r="D5" s="55" t="s">
        <v>119</v>
      </c>
      <c r="E5" s="55" t="s">
        <v>120</v>
      </c>
      <c r="F5" s="202" t="s">
        <v>121</v>
      </c>
    </row>
    <row r="6" spans="1:6">
      <c r="C6" s="203" t="s">
        <v>6</v>
      </c>
      <c r="D6" s="226">
        <f>'Appendix Table 2 details'!I6+'Appendix Table 2 details'!J22+'Appendix Table 2 details'!J23</f>
        <v>3332691</v>
      </c>
      <c r="E6" s="227">
        <f>'Appendix Table 2 details'!I12-'Appendix Table 2 details'!J22-'Appendix Table 2 details'!J23-200000</f>
        <v>1343418.1</v>
      </c>
      <c r="F6" s="228">
        <f>SUM(D6:E6)</f>
        <v>4676109.0999999996</v>
      </c>
    </row>
    <row r="7" spans="1:6">
      <c r="C7" s="203" t="s">
        <v>122</v>
      </c>
      <c r="D7" s="226">
        <f>'Appendix Table 2 details'!I7</f>
        <v>6430614.2300000004</v>
      </c>
      <c r="E7" s="227">
        <f>'Appendix Table 2 details'!I13-200000</f>
        <v>1520759.9</v>
      </c>
      <c r="F7" s="228">
        <f>SUM(D7:E7)</f>
        <v>7951374.1300000008</v>
      </c>
    </row>
    <row r="8" spans="1:6">
      <c r="C8" s="203" t="s">
        <v>112</v>
      </c>
      <c r="D8" s="229">
        <f>'Appendix Table 2 details'!I8+'Appendix Table 2 details'!J21</f>
        <v>1384345</v>
      </c>
      <c r="E8" s="230">
        <f>'Appendix Table 2 details'!I14-'Appendix Table 2 details'!J21-1280000</f>
        <v>433448</v>
      </c>
      <c r="F8" s="228">
        <f>SUM(D8,E8)</f>
        <v>1817793</v>
      </c>
    </row>
    <row r="9" spans="1:6">
      <c r="C9" s="204"/>
      <c r="D9" s="101"/>
      <c r="E9" s="102"/>
      <c r="F9" s="205">
        <f>SUM(F6:F8)</f>
        <v>14445276.23</v>
      </c>
    </row>
    <row r="10" spans="1:6">
      <c r="C10" s="218" t="s">
        <v>123</v>
      </c>
      <c r="D10" s="219">
        <f>SUM(D6:D8)/F9</f>
        <v>0.77171596115611285</v>
      </c>
      <c r="E10" s="219">
        <f>SUM(E6:E8)/F9</f>
        <v>0.22828403884388715</v>
      </c>
      <c r="F10" s="206"/>
    </row>
    <row r="11" spans="1:6">
      <c r="C11" s="217" t="s">
        <v>124</v>
      </c>
      <c r="D11" s="56"/>
      <c r="E11" s="57"/>
      <c r="F11" s="207">
        <f>'Appendix Table 2 details'!I35</f>
        <v>690634</v>
      </c>
    </row>
    <row r="12" spans="1:6">
      <c r="C12" s="214" t="s">
        <v>125</v>
      </c>
      <c r="D12" s="57"/>
      <c r="E12" s="57"/>
      <c r="F12" s="208">
        <f>'Appendix Table 2 details'!I36</f>
        <v>96251</v>
      </c>
    </row>
    <row r="13" spans="1:6">
      <c r="C13" s="215" t="s">
        <v>126</v>
      </c>
      <c r="D13" s="57"/>
      <c r="E13" s="57"/>
      <c r="F13" s="208">
        <f>'Appendix Table 2 details'!I37</f>
        <v>45989</v>
      </c>
    </row>
    <row r="14" spans="1:6">
      <c r="C14" s="216" t="s">
        <v>127</v>
      </c>
      <c r="D14" s="57"/>
      <c r="E14" s="57"/>
      <c r="F14" s="208">
        <f>200000+200000+1280000</f>
        <v>1680000</v>
      </c>
    </row>
    <row r="15" spans="1:6">
      <c r="C15" s="320" t="s">
        <v>128</v>
      </c>
      <c r="D15" s="321"/>
      <c r="E15" s="321"/>
      <c r="F15" s="209">
        <f>SUM(F9:F14)</f>
        <v>16958150.23</v>
      </c>
    </row>
    <row r="16" spans="1:6" ht="18">
      <c r="C16" s="322" t="s">
        <v>129</v>
      </c>
      <c r="D16" s="323"/>
      <c r="E16" s="323"/>
      <c r="F16" s="324"/>
    </row>
    <row r="17" spans="3:6">
      <c r="C17" s="200"/>
      <c r="D17" s="55" t="s">
        <v>119</v>
      </c>
      <c r="E17" s="55" t="s">
        <v>120</v>
      </c>
      <c r="F17" s="202" t="s">
        <v>121</v>
      </c>
    </row>
    <row r="18" spans="3:6">
      <c r="C18" s="203" t="s">
        <v>6</v>
      </c>
      <c r="D18" s="226">
        <f>'Appendix Table 2 details'!I46+'Appendix Table 2 details'!J62+'Appendix Table 2 details'!J63</f>
        <v>4644815.28</v>
      </c>
      <c r="E18" s="227">
        <f>'Appendix Table 2 details'!I52-'Appendix Table 2 details'!J62-'Appendix Table 2 details'!J63-206000</f>
        <v>1383720.6430000002</v>
      </c>
      <c r="F18" s="228">
        <f>SUM(D18:E18)</f>
        <v>6028535.9230000004</v>
      </c>
    </row>
    <row r="19" spans="3:6">
      <c r="C19" s="203" t="s">
        <v>122</v>
      </c>
      <c r="D19" s="226">
        <f>'Appendix Table 2 details'!I47</f>
        <v>8531516.0600000005</v>
      </c>
      <c r="E19" s="227">
        <f>'Appendix Table 2 details'!I53-206000</f>
        <v>1646249.6969999999</v>
      </c>
      <c r="F19" s="228">
        <f>SUM(D19:E19)</f>
        <v>10177765.757000001</v>
      </c>
    </row>
    <row r="20" spans="3:6">
      <c r="C20" s="203" t="s">
        <v>112</v>
      </c>
      <c r="D20" s="229">
        <f>'Appendix Table 2 details'!I48+'Appendix Table 2 details'!J61</f>
        <v>1522056</v>
      </c>
      <c r="E20" s="230">
        <f>'Appendix Table 2 details'!I54-'Appendix Table 2 details'!J61</f>
        <v>478512</v>
      </c>
      <c r="F20" s="228">
        <f>SUM(D20,E20)</f>
        <v>2000568</v>
      </c>
    </row>
    <row r="21" spans="3:6">
      <c r="C21" s="204"/>
      <c r="D21" s="101"/>
      <c r="E21" s="102"/>
      <c r="F21" s="205">
        <f>SUM(F18:F20)</f>
        <v>18206869.68</v>
      </c>
    </row>
    <row r="22" spans="3:6">
      <c r="C22" s="218" t="s">
        <v>123</v>
      </c>
      <c r="D22" s="219">
        <f>SUM(D18:D20)/F21</f>
        <v>0.80729898100748088</v>
      </c>
      <c r="E22" s="219">
        <f>SUM(E18:E20)/F21</f>
        <v>0.1927010189925191</v>
      </c>
      <c r="F22" s="206"/>
    </row>
    <row r="23" spans="3:6">
      <c r="C23" s="217" t="s">
        <v>124</v>
      </c>
      <c r="D23" s="56"/>
      <c r="E23" s="57"/>
      <c r="F23" s="207">
        <f>'Appendix Table 2 details'!I74</f>
        <v>690634</v>
      </c>
    </row>
    <row r="24" spans="3:6">
      <c r="C24" s="214" t="s">
        <v>125</v>
      </c>
      <c r="D24" s="57"/>
      <c r="E24" s="57"/>
      <c r="F24" s="208">
        <f>'Appendix Table 2 details'!I75</f>
        <v>198277.06</v>
      </c>
    </row>
    <row r="25" spans="3:6">
      <c r="C25" s="215" t="s">
        <v>126</v>
      </c>
      <c r="D25" s="57"/>
      <c r="E25" s="57"/>
      <c r="F25" s="208">
        <f>'Appendix Table 2 details'!I76</f>
        <v>229945</v>
      </c>
    </row>
    <row r="26" spans="3:6">
      <c r="C26" s="216" t="s">
        <v>127</v>
      </c>
      <c r="D26" s="57"/>
      <c r="E26" s="57"/>
      <c r="F26" s="208">
        <f>206000+206000</f>
        <v>412000</v>
      </c>
    </row>
    <row r="27" spans="3:6">
      <c r="C27" s="320" t="s">
        <v>130</v>
      </c>
      <c r="D27" s="321"/>
      <c r="E27" s="321"/>
      <c r="F27" s="210">
        <f>SUM(F21:F26)</f>
        <v>19737725.739999998</v>
      </c>
    </row>
    <row r="28" spans="3:6">
      <c r="C28" s="211" t="s">
        <v>131</v>
      </c>
      <c r="D28" s="212">
        <f>SUM(D6:D8,D18:D20)/(F9+F21)</f>
        <v>0.7915570891187409</v>
      </c>
      <c r="E28" s="212">
        <f>SUM(E6:E8,E18:E20)/($F$9+$F$21)</f>
        <v>0.20844291088125913</v>
      </c>
      <c r="F28" s="213"/>
    </row>
    <row r="29" spans="3:6">
      <c r="C29" s="59" t="s">
        <v>132</v>
      </c>
    </row>
    <row r="32" spans="3:6">
      <c r="E32" s="58"/>
    </row>
  </sheetData>
  <mergeCells count="4">
    <mergeCell ref="C4:F4"/>
    <mergeCell ref="C15:E15"/>
    <mergeCell ref="C16:F16"/>
    <mergeCell ref="C27:E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EA59-EACE-421D-B552-323D689035FC}">
  <sheetPr>
    <tabColor theme="9"/>
  </sheetPr>
  <dimension ref="A1:D10"/>
  <sheetViews>
    <sheetView workbookViewId="0">
      <selection activeCell="B18" sqref="B18"/>
    </sheetView>
  </sheetViews>
  <sheetFormatPr defaultRowHeight="15"/>
  <cols>
    <col min="1" max="3" width="34.28515625" customWidth="1"/>
    <col min="4" max="4" width="44.42578125" customWidth="1"/>
  </cols>
  <sheetData>
    <row r="1" spans="1:4">
      <c r="A1" s="117" t="s">
        <v>133</v>
      </c>
    </row>
    <row r="2" spans="1:4" ht="15.75" thickBot="1"/>
    <row r="3" spans="1:4" ht="32.25" thickBot="1">
      <c r="B3" s="74" t="s">
        <v>134</v>
      </c>
      <c r="C3" s="75"/>
      <c r="D3" s="76"/>
    </row>
    <row r="4" spans="1:4" ht="16.5" thickBot="1">
      <c r="B4" s="70" t="s">
        <v>135</v>
      </c>
      <c r="C4" s="71" t="s">
        <v>136</v>
      </c>
      <c r="D4" s="71" t="s">
        <v>137</v>
      </c>
    </row>
    <row r="5" spans="1:4" ht="15.75" thickBot="1">
      <c r="B5" s="72" t="s">
        <v>138</v>
      </c>
      <c r="C5" s="73" t="s">
        <v>139</v>
      </c>
      <c r="D5" s="73" t="s">
        <v>140</v>
      </c>
    </row>
    <row r="6" spans="1:4" ht="15.75" thickBot="1">
      <c r="B6" s="72" t="s">
        <v>141</v>
      </c>
      <c r="C6" s="73" t="s">
        <v>142</v>
      </c>
      <c r="D6" s="73" t="s">
        <v>143</v>
      </c>
    </row>
    <row r="7" spans="1:4" ht="15.75" thickBot="1">
      <c r="B7" s="72"/>
      <c r="C7" s="73" t="s">
        <v>144</v>
      </c>
      <c r="D7" s="73" t="s">
        <v>145</v>
      </c>
    </row>
    <row r="8" spans="1:4" ht="15.75" thickBot="1">
      <c r="B8" s="72"/>
      <c r="C8" s="73"/>
      <c r="D8" s="73" t="s">
        <v>146</v>
      </c>
    </row>
    <row r="9" spans="1:4" ht="15.75" thickBot="1">
      <c r="B9" s="72"/>
      <c r="C9" s="73"/>
      <c r="D9" s="73" t="s">
        <v>147</v>
      </c>
    </row>
    <row r="10" spans="1:4" ht="205.5" customHeight="1" thickBot="1">
      <c r="B10" s="77"/>
      <c r="C10" s="78"/>
      <c r="D10" s="7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A8E0-BD1F-4776-A479-4BB084716115}">
  <sheetPr>
    <tabColor theme="9"/>
  </sheetPr>
  <dimension ref="A1:G22"/>
  <sheetViews>
    <sheetView workbookViewId="0">
      <selection activeCell="O12" sqref="O12"/>
    </sheetView>
  </sheetViews>
  <sheetFormatPr defaultRowHeight="15"/>
  <cols>
    <col min="2" max="2" width="8.28515625" customWidth="1"/>
    <col min="3" max="3" width="24.5703125" bestFit="1" customWidth="1"/>
    <col min="4" max="4" width="14.7109375" bestFit="1" customWidth="1"/>
    <col min="5" max="5" width="22.7109375" bestFit="1" customWidth="1"/>
    <col min="6" max="6" width="19.5703125" bestFit="1" customWidth="1"/>
    <col min="7" max="7" width="25" bestFit="1" customWidth="1"/>
    <col min="10" max="10" width="24.7109375" customWidth="1"/>
  </cols>
  <sheetData>
    <row r="1" spans="1:7">
      <c r="A1" s="325" t="s">
        <v>148</v>
      </c>
      <c r="B1" s="326"/>
      <c r="C1" s="326"/>
      <c r="D1" s="326"/>
      <c r="E1" s="326"/>
    </row>
    <row r="3" spans="1:7" ht="45">
      <c r="B3" s="144" t="s">
        <v>149</v>
      </c>
      <c r="C3" s="145" t="s">
        <v>150</v>
      </c>
      <c r="D3" s="145" t="s">
        <v>151</v>
      </c>
      <c r="E3" s="145" t="s">
        <v>152</v>
      </c>
      <c r="F3" s="145" t="s">
        <v>153</v>
      </c>
      <c r="G3" s="145" t="s">
        <v>154</v>
      </c>
    </row>
    <row r="4" spans="1:7">
      <c r="B4" s="133" t="s">
        <v>155</v>
      </c>
      <c r="C4" s="136" t="s">
        <v>156</v>
      </c>
      <c r="D4" s="136" t="s">
        <v>157</v>
      </c>
      <c r="E4" s="136" t="s">
        <v>158</v>
      </c>
      <c r="F4" s="136" t="s">
        <v>159</v>
      </c>
      <c r="G4" s="137" t="s">
        <v>160</v>
      </c>
    </row>
    <row r="5" spans="1:7">
      <c r="B5" s="133" t="s">
        <v>161</v>
      </c>
      <c r="C5" s="136" t="s">
        <v>162</v>
      </c>
      <c r="D5" s="136" t="s">
        <v>163</v>
      </c>
      <c r="E5" s="136" t="s">
        <v>164</v>
      </c>
      <c r="F5" s="136" t="s">
        <v>165</v>
      </c>
      <c r="G5" s="137" t="s">
        <v>160</v>
      </c>
    </row>
    <row r="6" spans="1:7">
      <c r="B6" s="133" t="s">
        <v>166</v>
      </c>
      <c r="C6" s="136" t="s">
        <v>167</v>
      </c>
      <c r="D6" s="136" t="s">
        <v>168</v>
      </c>
      <c r="E6" s="136" t="s">
        <v>169</v>
      </c>
      <c r="F6" s="136" t="s">
        <v>170</v>
      </c>
      <c r="G6" s="137" t="s">
        <v>160</v>
      </c>
    </row>
    <row r="7" spans="1:7">
      <c r="B7" s="133" t="s">
        <v>171</v>
      </c>
      <c r="C7" s="136" t="s">
        <v>172</v>
      </c>
      <c r="D7" s="136" t="s">
        <v>173</v>
      </c>
      <c r="E7" s="136" t="s">
        <v>174</v>
      </c>
      <c r="F7" s="136" t="s">
        <v>175</v>
      </c>
      <c r="G7" s="137" t="s">
        <v>176</v>
      </c>
    </row>
    <row r="8" spans="1:7">
      <c r="B8" s="133" t="s">
        <v>177</v>
      </c>
      <c r="C8" s="136" t="s">
        <v>178</v>
      </c>
      <c r="D8" s="136" t="s">
        <v>179</v>
      </c>
      <c r="E8" s="136" t="s">
        <v>180</v>
      </c>
      <c r="F8" s="136" t="s">
        <v>181</v>
      </c>
      <c r="G8" s="137" t="s">
        <v>176</v>
      </c>
    </row>
    <row r="9" spans="1:7">
      <c r="B9" s="133" t="s">
        <v>182</v>
      </c>
      <c r="C9" s="136" t="s">
        <v>183</v>
      </c>
      <c r="D9" s="136" t="s">
        <v>184</v>
      </c>
      <c r="E9" s="136" t="s">
        <v>185</v>
      </c>
      <c r="F9" s="136" t="s">
        <v>186</v>
      </c>
      <c r="G9" s="137" t="s">
        <v>187</v>
      </c>
    </row>
    <row r="10" spans="1:7">
      <c r="B10" s="133" t="s">
        <v>188</v>
      </c>
      <c r="C10" s="136" t="s">
        <v>189</v>
      </c>
      <c r="D10" s="136" t="s">
        <v>190</v>
      </c>
      <c r="E10" s="136" t="s">
        <v>191</v>
      </c>
      <c r="F10" s="136" t="s">
        <v>192</v>
      </c>
      <c r="G10" s="137" t="s">
        <v>187</v>
      </c>
    </row>
    <row r="11" spans="1:7">
      <c r="B11" s="133" t="s">
        <v>193</v>
      </c>
      <c r="C11" s="136" t="s">
        <v>194</v>
      </c>
      <c r="D11" s="136" t="s">
        <v>195</v>
      </c>
      <c r="E11" s="136" t="s">
        <v>196</v>
      </c>
      <c r="F11" s="136" t="s">
        <v>197</v>
      </c>
      <c r="G11" s="137" t="s">
        <v>187</v>
      </c>
    </row>
    <row r="12" spans="1:7">
      <c r="B12" s="133" t="s">
        <v>198</v>
      </c>
      <c r="C12" s="136" t="s">
        <v>199</v>
      </c>
      <c r="D12" s="136" t="s">
        <v>200</v>
      </c>
      <c r="E12" s="136" t="s">
        <v>201</v>
      </c>
      <c r="F12" s="136" t="s">
        <v>202</v>
      </c>
      <c r="G12" s="137" t="s">
        <v>187</v>
      </c>
    </row>
    <row r="13" spans="1:7">
      <c r="B13" s="133" t="s">
        <v>203</v>
      </c>
      <c r="C13" s="136" t="s">
        <v>204</v>
      </c>
      <c r="D13" s="136" t="s">
        <v>205</v>
      </c>
      <c r="E13" s="136" t="s">
        <v>206</v>
      </c>
      <c r="F13" s="136" t="s">
        <v>207</v>
      </c>
      <c r="G13" s="137" t="s">
        <v>187</v>
      </c>
    </row>
    <row r="14" spans="1:7">
      <c r="B14" s="133" t="s">
        <v>208</v>
      </c>
      <c r="C14" s="136" t="s">
        <v>209</v>
      </c>
      <c r="D14" s="136" t="s">
        <v>210</v>
      </c>
      <c r="E14" s="136" t="s">
        <v>211</v>
      </c>
      <c r="F14" s="136" t="s">
        <v>212</v>
      </c>
      <c r="G14" s="137" t="s">
        <v>213</v>
      </c>
    </row>
    <row r="15" spans="1:7">
      <c r="B15" s="133" t="s">
        <v>214</v>
      </c>
      <c r="C15" s="136" t="s">
        <v>215</v>
      </c>
      <c r="D15" s="136" t="s">
        <v>216</v>
      </c>
      <c r="E15" s="136" t="s">
        <v>217</v>
      </c>
      <c r="F15" s="136" t="s">
        <v>218</v>
      </c>
      <c r="G15" s="137" t="s">
        <v>219</v>
      </c>
    </row>
    <row r="16" spans="1:7">
      <c r="B16" s="133" t="s">
        <v>220</v>
      </c>
      <c r="C16" s="136" t="s">
        <v>183</v>
      </c>
      <c r="D16" s="136" t="s">
        <v>221</v>
      </c>
      <c r="E16" s="136" t="s">
        <v>222</v>
      </c>
      <c r="F16" s="136" t="s">
        <v>223</v>
      </c>
      <c r="G16" s="137" t="s">
        <v>219</v>
      </c>
    </row>
    <row r="17" spans="2:7">
      <c r="B17" s="133" t="s">
        <v>220</v>
      </c>
      <c r="C17" s="136" t="s">
        <v>224</v>
      </c>
      <c r="D17" s="136" t="s">
        <v>225</v>
      </c>
      <c r="E17" s="136" t="s">
        <v>226</v>
      </c>
      <c r="F17" s="136" t="s">
        <v>227</v>
      </c>
      <c r="G17" s="137" t="s">
        <v>228</v>
      </c>
    </row>
    <row r="18" spans="2:7">
      <c r="B18" s="133" t="s">
        <v>229</v>
      </c>
      <c r="C18" s="136" t="s">
        <v>230</v>
      </c>
      <c r="D18" s="136" t="s">
        <v>231</v>
      </c>
      <c r="E18" s="136" t="s">
        <v>232</v>
      </c>
      <c r="F18" s="136" t="s">
        <v>233</v>
      </c>
      <c r="G18" s="137" t="s">
        <v>228</v>
      </c>
    </row>
    <row r="19" spans="2:7">
      <c r="B19" s="133" t="s">
        <v>234</v>
      </c>
      <c r="C19" s="136" t="s">
        <v>235</v>
      </c>
      <c r="D19" s="136" t="s">
        <v>236</v>
      </c>
      <c r="E19" s="136" t="s">
        <v>237</v>
      </c>
      <c r="F19" s="136" t="s">
        <v>238</v>
      </c>
      <c r="G19" s="137" t="s">
        <v>228</v>
      </c>
    </row>
    <row r="20" spans="2:7">
      <c r="B20" s="133" t="s">
        <v>234</v>
      </c>
      <c r="C20" s="136" t="s">
        <v>239</v>
      </c>
      <c r="D20" s="136" t="s">
        <v>240</v>
      </c>
      <c r="E20" s="136" t="s">
        <v>241</v>
      </c>
      <c r="F20" s="136" t="s">
        <v>242</v>
      </c>
      <c r="G20" s="137" t="s">
        <v>243</v>
      </c>
    </row>
    <row r="21" spans="2:7">
      <c r="B21" s="134">
        <v>2023</v>
      </c>
      <c r="C21" s="136">
        <v>124</v>
      </c>
      <c r="D21" s="138">
        <v>17601</v>
      </c>
      <c r="E21" s="139">
        <v>1152367</v>
      </c>
      <c r="F21" s="139">
        <v>9293</v>
      </c>
      <c r="G21" s="137" t="s">
        <v>243</v>
      </c>
    </row>
    <row r="22" spans="2:7">
      <c r="B22" s="135">
        <v>2024</v>
      </c>
      <c r="C22" s="140">
        <v>61</v>
      </c>
      <c r="D22" s="141">
        <v>14297</v>
      </c>
      <c r="E22" s="142">
        <v>1315582</v>
      </c>
      <c r="F22" s="142">
        <v>21567</v>
      </c>
      <c r="G22" s="143" t="s">
        <v>243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EC96-A921-40E6-BBD3-D67F97EFF806}">
  <sheetPr>
    <tabColor theme="9"/>
  </sheetPr>
  <dimension ref="A1:C16"/>
  <sheetViews>
    <sheetView workbookViewId="0">
      <selection activeCell="F10" sqref="F10"/>
    </sheetView>
  </sheetViews>
  <sheetFormatPr defaultRowHeight="15"/>
  <cols>
    <col min="1" max="1" width="34.7109375" customWidth="1"/>
    <col min="2" max="2" width="17.85546875" customWidth="1"/>
    <col min="3" max="3" width="49.140625" customWidth="1"/>
  </cols>
  <sheetData>
    <row r="1" spans="1:3">
      <c r="A1" s="153" t="s">
        <v>244</v>
      </c>
    </row>
    <row r="3" spans="1:3" ht="40.5" customHeight="1">
      <c r="B3" s="80" t="s">
        <v>245</v>
      </c>
      <c r="C3" s="81" t="s">
        <v>246</v>
      </c>
    </row>
    <row r="4" spans="1:3">
      <c r="B4" s="82">
        <v>2025</v>
      </c>
      <c r="C4" s="119">
        <v>651234</v>
      </c>
    </row>
    <row r="5" spans="1:3">
      <c r="B5" s="85">
        <v>2026</v>
      </c>
      <c r="C5" s="119">
        <v>651234</v>
      </c>
    </row>
    <row r="6" spans="1:3">
      <c r="B6" s="82">
        <v>2027</v>
      </c>
      <c r="C6" s="119">
        <v>651234</v>
      </c>
    </row>
    <row r="7" spans="1:3">
      <c r="B7" s="85">
        <v>2028</v>
      </c>
      <c r="C7" s="119">
        <v>651234</v>
      </c>
    </row>
    <row r="8" spans="1:3">
      <c r="B8" s="82">
        <v>2029</v>
      </c>
      <c r="C8" s="119">
        <v>651234</v>
      </c>
    </row>
    <row r="9" spans="1:3" ht="15.75">
      <c r="B9" s="83" t="s">
        <v>247</v>
      </c>
      <c r="C9" s="84">
        <v>3256170</v>
      </c>
    </row>
    <row r="16" spans="1:3" ht="39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E3E4EDB1E742BC94CBEF7EE801BC" ma:contentTypeVersion="6" ma:contentTypeDescription="Create a new document." ma:contentTypeScope="" ma:versionID="2ad3370fabfc0704860bbf48d8b00dd6">
  <xsd:schema xmlns:xsd="http://www.w3.org/2001/XMLSchema" xmlns:xs="http://www.w3.org/2001/XMLSchema" xmlns:p="http://schemas.microsoft.com/office/2006/metadata/properties" xmlns:ns2="e97b0ee8-9cf2-43d0-9aca-7e7f47880de2" xmlns:ns3="a83c099c-9312-4c23-9a30-4b76f10a4891" targetNamespace="http://schemas.microsoft.com/office/2006/metadata/properties" ma:root="true" ma:fieldsID="b6cf19ed0af1cf302a4f21781f091b40" ns2:_="" ns3:_="">
    <xsd:import namespace="e97b0ee8-9cf2-43d0-9aca-7e7f47880de2"/>
    <xsd:import namespace="a83c099c-9312-4c23-9a30-4b76f10a48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ee8-9cf2-43d0-9aca-7e7f47880d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c099c-9312-4c23-9a30-4b76f10a4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72B137-54F1-47D5-AA33-959BD093ED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0A7B04-EE27-48B0-95E8-E983AE8FCB21}"/>
</file>

<file path=customXml/itemProps3.xml><?xml version="1.0" encoding="utf-8"?>
<ds:datastoreItem xmlns:ds="http://schemas.openxmlformats.org/officeDocument/2006/customXml" ds:itemID="{D8592D9A-4B83-4F26-A4E6-384D918DF4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Savings Potential</vt:lpstr>
      <vt:lpstr>Table 1</vt:lpstr>
      <vt:lpstr>Table 2</vt:lpstr>
      <vt:lpstr>Appendix Table 2 details</vt:lpstr>
      <vt:lpstr>Table 3</vt:lpstr>
      <vt:lpstr>Table 4</vt:lpstr>
      <vt:lpstr>Table 5</vt:lpstr>
      <vt:lpstr>Table 6</vt:lpstr>
      <vt:lpstr>Table 7</vt:lpstr>
      <vt:lpstr>'Table 5'!_Toc83807174</vt:lpstr>
      <vt:lpstr>'Table 6'!_Toc83807177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Cowlishaw, Monica</dc:creator>
  <cp:keywords/>
  <dc:description/>
  <cp:lastModifiedBy>Reimer, Caleb</cp:lastModifiedBy>
  <cp:revision/>
  <dcterms:created xsi:type="dcterms:W3CDTF">2021-09-12T21:16:40Z</dcterms:created>
  <dcterms:modified xsi:type="dcterms:W3CDTF">2025-11-14T14:54:30Z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0x010100B88CE3E4EDB1E742BC94CBEF7EE801BC</vt:lpwstr>
  </property>
  <property fmtid="{D5CDD505-2E9C-101B-9397-08002B2CF9AE}" pid="3" name="MSIP_Label_1da8032d-c4fe-48b8-9054-92634c9ea061_Enabled">
    <vt:lpwstr>true</vt:lpwstr>
  </property>
  <property fmtid="{D5CDD505-2E9C-101B-9397-08002B2CF9AE}" pid="4" name="MSIP_Label_1da8032d-c4fe-48b8-9054-92634c9ea061_SetDate">
    <vt:lpwstr>2025-05-05T20:50:49Z</vt:lpwstr>
  </property>
  <property fmtid="{D5CDD505-2E9C-101B-9397-08002B2CF9AE}" pid="5" name="MSIP_Label_1da8032d-c4fe-48b8-9054-92634c9ea061_Method">
    <vt:lpwstr>Standard</vt:lpwstr>
  </property>
  <property fmtid="{D5CDD505-2E9C-101B-9397-08002B2CF9AE}" pid="6" name="MSIP_Label_1da8032d-c4fe-48b8-9054-92634c9ea061_Name">
    <vt:lpwstr>Label 2 - Docs</vt:lpwstr>
  </property>
  <property fmtid="{D5CDD505-2E9C-101B-9397-08002B2CF9AE}" pid="7" name="MSIP_Label_1da8032d-c4fe-48b8-9054-92634c9ea061_SiteId">
    <vt:lpwstr>ce6a0196-6152-4c6a-9d1d-e946c3735743</vt:lpwstr>
  </property>
  <property fmtid="{D5CDD505-2E9C-101B-9397-08002B2CF9AE}" pid="8" name="MSIP_Label_1da8032d-c4fe-48b8-9054-92634c9ea061_ActionId">
    <vt:lpwstr>09a290ba-3b53-44fe-b99c-91a65b2350fd</vt:lpwstr>
  </property>
  <property fmtid="{D5CDD505-2E9C-101B-9397-08002B2CF9AE}" pid="9" name="MSIP_Label_1da8032d-c4fe-48b8-9054-92634c9ea061_ContentBits">
    <vt:lpwstr>0</vt:lpwstr>
  </property>
  <property fmtid="{D5CDD505-2E9C-101B-9397-08002B2CF9AE}" pid="10" name="MSIP_Label_1da8032d-c4fe-48b8-9054-92634c9ea061_Tag">
    <vt:lpwstr>10, 3, 0, 2</vt:lpwstr>
  </property>
</Properties>
</file>