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hidePivotFieldList="1" defaultThemeVersion="124226"/>
  <mc:AlternateContent xmlns:mc="http://schemas.openxmlformats.org/markup-compatibility/2006">
    <mc:Choice Requires="x15">
      <x15ac:absPath xmlns:x15ac="http://schemas.microsoft.com/office/spreadsheetml/2010/11/ac" url="\\cngc-sea-fp1\Data\Dept\Rates\ENERGY EFFICIENCY\Conservation Plan docs\2022 Conservation Plan\Master Workbooks\"/>
    </mc:Choice>
  </mc:AlternateContent>
  <xr:revisionPtr revIDLastSave="0" documentId="13_ncr:1_{1A36EE0C-7B65-4ED9-AD29-0A5D3630B205}" xr6:coauthVersionLast="46" xr6:coauthVersionMax="46" xr10:uidLastSave="{00000000-0000-0000-0000-000000000000}"/>
  <bookViews>
    <workbookView xWindow="-120" yWindow="-120" windowWidth="38640" windowHeight="21240" xr2:uid="{F08D6D21-212C-4A79-8978-A8F950ECA521}"/>
  </bookViews>
  <sheets>
    <sheet name="2022" sheetId="15" r:id="rId1"/>
    <sheet name="2023" sheetId="13" r:id="rId2"/>
    <sheet name="Updated Tariff" sheetId="10" r:id="rId3"/>
    <sheet name="APP 2885" sheetId="8" r:id="rId4"/>
    <sheet name="Com Measure Mapping" sheetId="9" r:id="rId5"/>
  </sheets>
  <externalReferences>
    <externalReference r:id="rId6"/>
    <externalReference r:id="rId7"/>
    <externalReference r:id="rId8"/>
    <externalReference r:id="rId9"/>
  </externalReferences>
  <definedNames>
    <definedName name="_xlnm._FilterDatabase" localSheetId="0" hidden="1">'2022'!$B$5:$AN$72</definedName>
    <definedName name="_xlnm._FilterDatabase" localSheetId="1" hidden="1">'2023'!$B$5:$AN$72</definedName>
    <definedName name="_xlnm._FilterDatabase" localSheetId="4" hidden="1">'Com Measure Mapping'!$B$3:$Y$52</definedName>
    <definedName name="AC">'APP 2885'!$B$10:$H$54</definedName>
    <definedName name="DiscountRate">[1]Constants!$A$5</definedName>
    <definedName name="Elect_Avoided_Cost">'[2]Load Profiles'!$G$2:$Z$74</definedName>
    <definedName name="Electric_Load_Profiles">'[2]Load Profiles'!$A$3:$D$20</definedName>
    <definedName name="Existing_Process">"Gas_Capacity_Factors"</definedName>
    <definedName name="Gas_Avoided_Cost">'[2]Load Profiles'!$AB$3:$AE$79</definedName>
    <definedName name="Gas_Cap_Factor">'[2]Load Profiles'!$X$4:$Y$25</definedName>
    <definedName name="Index_No.">"Gas_Avoided_Cost"</definedName>
    <definedName name="Inflation">'[3]Rates&amp;NEB'!$B$7</definedName>
    <definedName name="LTdiscount">'[3]Rates&amp;NEB'!$B$9</definedName>
    <definedName name="NEPercentage">'[3]Rates&amp;NEB'!$B$13</definedName>
    <definedName name="NomInt">'[3]Rates&amp;NEB'!$B$5</definedName>
    <definedName name="OffsetAnchor" localSheetId="0">'2022'!#REF!</definedName>
    <definedName name="OffsetAnchor" localSheetId="1">'2023'!#REF!</definedName>
    <definedName name="_xlnm.Print_Area" localSheetId="0">'2022'!$E$1:$AN$84</definedName>
    <definedName name="_xlnm.Print_Area" localSheetId="1">'2023'!$E$1:$AN$84</definedName>
    <definedName name="SSMeasures">[4]Sheet4!$A$5:$G$115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B72" i="13" l="1"/>
  <c r="AB72" i="15" l="1"/>
  <c r="Z61" i="13" l="1"/>
  <c r="Z61" i="15"/>
  <c r="F3" i="10" l="1"/>
  <c r="F5" i="10"/>
  <c r="F9" i="10"/>
  <c r="F14" i="10"/>
  <c r="F22" i="10"/>
  <c r="F23" i="10"/>
  <c r="F24" i="10"/>
  <c r="F33" i="10"/>
  <c r="F2" i="10"/>
  <c r="AC61" i="15" l="1"/>
  <c r="AF61" i="15" s="1"/>
  <c r="I30" i="15"/>
  <c r="I27" i="15"/>
  <c r="I19" i="15"/>
  <c r="Z71" i="15"/>
  <c r="C71" i="15"/>
  <c r="Z70" i="15"/>
  <c r="C70" i="15"/>
  <c r="Z69" i="15"/>
  <c r="C69" i="15"/>
  <c r="Z68" i="15"/>
  <c r="C68" i="15"/>
  <c r="Z67" i="15"/>
  <c r="C67" i="15"/>
  <c r="Z66" i="15"/>
  <c r="C66" i="15"/>
  <c r="Z65" i="15"/>
  <c r="C65" i="15"/>
  <c r="Z64" i="15"/>
  <c r="C64" i="15"/>
  <c r="Z63" i="15"/>
  <c r="C63" i="15"/>
  <c r="Z62" i="15"/>
  <c r="C62" i="15"/>
  <c r="V61" i="15"/>
  <c r="Q61" i="15"/>
  <c r="S61" i="15" s="1"/>
  <c r="C60" i="15"/>
  <c r="AF59" i="15"/>
  <c r="AG59" i="15" s="1"/>
  <c r="AB59" i="15"/>
  <c r="Z59" i="15"/>
  <c r="V59" i="15"/>
  <c r="S59" i="15"/>
  <c r="P59" i="15"/>
  <c r="O59" i="15"/>
  <c r="N59" i="15"/>
  <c r="C59" i="15"/>
  <c r="AF58" i="15"/>
  <c r="AG58" i="15" s="1"/>
  <c r="AB58" i="15"/>
  <c r="Z58" i="15"/>
  <c r="V58" i="15"/>
  <c r="S58" i="15"/>
  <c r="P58" i="15"/>
  <c r="O58" i="15"/>
  <c r="N58" i="15"/>
  <c r="C58" i="15"/>
  <c r="AF57" i="15"/>
  <c r="AG57" i="15" s="1"/>
  <c r="AB57" i="15"/>
  <c r="Z57" i="15"/>
  <c r="V57" i="15"/>
  <c r="S57" i="15"/>
  <c r="P57" i="15"/>
  <c r="O57" i="15"/>
  <c r="N57" i="15"/>
  <c r="C57" i="15"/>
  <c r="AF56" i="15"/>
  <c r="AG56" i="15" s="1"/>
  <c r="AB56" i="15"/>
  <c r="Z56" i="15"/>
  <c r="V56" i="15"/>
  <c r="S56" i="15"/>
  <c r="P56" i="15"/>
  <c r="O56" i="15"/>
  <c r="N56" i="15"/>
  <c r="C56" i="15"/>
  <c r="AF55" i="15"/>
  <c r="AG55" i="15" s="1"/>
  <c r="AB55" i="15"/>
  <c r="Z55" i="15"/>
  <c r="V55" i="15"/>
  <c r="S55" i="15"/>
  <c r="P55" i="15"/>
  <c r="O55" i="15"/>
  <c r="N55" i="15"/>
  <c r="C55" i="15"/>
  <c r="AB54" i="15"/>
  <c r="P54" i="15"/>
  <c r="C54" i="15"/>
  <c r="Y54" i="15" s="1"/>
  <c r="Z54" i="15" s="1"/>
  <c r="AF53" i="15"/>
  <c r="F32" i="10" s="1"/>
  <c r="AB53" i="15"/>
  <c r="S53" i="15"/>
  <c r="P53" i="15"/>
  <c r="C53" i="15"/>
  <c r="AE53" i="15" s="1"/>
  <c r="AF52" i="15"/>
  <c r="F31" i="10" s="1"/>
  <c r="AB52" i="15"/>
  <c r="S52" i="15"/>
  <c r="P52" i="15"/>
  <c r="C52" i="15"/>
  <c r="AD52" i="15" s="1"/>
  <c r="AF51" i="15"/>
  <c r="F30" i="10" s="1"/>
  <c r="AB51" i="15"/>
  <c r="S51" i="15"/>
  <c r="P51" i="15"/>
  <c r="C51" i="15"/>
  <c r="AD51" i="15" s="1"/>
  <c r="AF50" i="15"/>
  <c r="F29" i="10" s="1"/>
  <c r="AB50" i="15"/>
  <c r="S50" i="15"/>
  <c r="P50" i="15"/>
  <c r="C50" i="15"/>
  <c r="AG49" i="15"/>
  <c r="AJ49" i="15" s="1"/>
  <c r="AB49" i="15"/>
  <c r="V49" i="15"/>
  <c r="P49" i="15"/>
  <c r="AA49" i="15" s="1"/>
  <c r="O49" i="15"/>
  <c r="T49" i="15" s="1"/>
  <c r="C49" i="15"/>
  <c r="AD49" i="15" s="1"/>
  <c r="AG48" i="15"/>
  <c r="AJ48" i="15" s="1"/>
  <c r="AB48" i="15"/>
  <c r="V48" i="15"/>
  <c r="P48" i="15"/>
  <c r="AA48" i="15" s="1"/>
  <c r="O48" i="15"/>
  <c r="C48" i="15"/>
  <c r="AE48" i="15" s="1"/>
  <c r="AF47" i="15"/>
  <c r="F27" i="10" s="1"/>
  <c r="AB47" i="15"/>
  <c r="S47" i="15"/>
  <c r="P47" i="15"/>
  <c r="C47" i="15"/>
  <c r="AB46" i="15"/>
  <c r="P46" i="15"/>
  <c r="C46" i="15"/>
  <c r="AD46" i="15" s="1"/>
  <c r="AB45" i="15"/>
  <c r="P45" i="15"/>
  <c r="AA45" i="15" s="1"/>
  <c r="O45" i="15"/>
  <c r="C45" i="15"/>
  <c r="Y45" i="15" s="1"/>
  <c r="AG44" i="15"/>
  <c r="AJ44" i="15" s="1"/>
  <c r="AB44" i="15"/>
  <c r="V44" i="15"/>
  <c r="P44" i="15"/>
  <c r="AA44" i="15" s="1"/>
  <c r="AI44" i="15" s="1"/>
  <c r="O44" i="15"/>
  <c r="T44" i="15" s="1"/>
  <c r="C44" i="15"/>
  <c r="AD44" i="15" s="1"/>
  <c r="AG43" i="15"/>
  <c r="AJ43" i="15" s="1"/>
  <c r="AB43" i="15"/>
  <c r="V43" i="15"/>
  <c r="P43" i="15"/>
  <c r="AA43" i="15" s="1"/>
  <c r="O43" i="15"/>
  <c r="T43" i="15" s="1"/>
  <c r="C43" i="15"/>
  <c r="M43" i="15" s="1"/>
  <c r="AB42" i="15"/>
  <c r="Z42" i="15"/>
  <c r="S42" i="15"/>
  <c r="P42" i="15"/>
  <c r="N42" i="15"/>
  <c r="C42" i="15"/>
  <c r="L42" i="15" s="1"/>
  <c r="AG41" i="15"/>
  <c r="AB41" i="15"/>
  <c r="Z41" i="15"/>
  <c r="P41" i="15"/>
  <c r="O41" i="15"/>
  <c r="T41" i="15" s="1"/>
  <c r="C41" i="15"/>
  <c r="AE41" i="15" s="1"/>
  <c r="AB40" i="15"/>
  <c r="Z40" i="15"/>
  <c r="S40" i="15"/>
  <c r="P40" i="15"/>
  <c r="N40" i="15"/>
  <c r="C40" i="15"/>
  <c r="L40" i="15" s="1"/>
  <c r="AB39" i="15"/>
  <c r="Z39" i="15"/>
  <c r="S39" i="15"/>
  <c r="P39" i="15"/>
  <c r="N39" i="15"/>
  <c r="C39" i="15"/>
  <c r="AE39" i="15" s="1"/>
  <c r="AF38" i="15"/>
  <c r="F26" i="10" s="1"/>
  <c r="AB38" i="15"/>
  <c r="S38" i="15"/>
  <c r="P38" i="15"/>
  <c r="N38" i="15"/>
  <c r="C38" i="15"/>
  <c r="M38" i="15" s="1"/>
  <c r="AF37" i="15"/>
  <c r="F25" i="10" s="1"/>
  <c r="AB37" i="15"/>
  <c r="S37" i="15"/>
  <c r="P37" i="15"/>
  <c r="C37" i="15"/>
  <c r="AE37" i="15" s="1"/>
  <c r="AB36" i="15"/>
  <c r="S36" i="15"/>
  <c r="P36" i="15"/>
  <c r="N36" i="15"/>
  <c r="V36" i="15" s="1"/>
  <c r="C36" i="15"/>
  <c r="M36" i="15" s="1"/>
  <c r="AF35" i="15"/>
  <c r="F21" i="10" s="1"/>
  <c r="AB35" i="15"/>
  <c r="Z35" i="15"/>
  <c r="S35" i="15"/>
  <c r="P35" i="15"/>
  <c r="N35" i="15"/>
  <c r="C35" i="15"/>
  <c r="AF34" i="15"/>
  <c r="F20" i="10" s="1"/>
  <c r="AB34" i="15"/>
  <c r="Z34" i="15"/>
  <c r="S34" i="15"/>
  <c r="P34" i="15"/>
  <c r="N34" i="15"/>
  <c r="C34" i="15"/>
  <c r="AD34" i="15" s="1"/>
  <c r="AF33" i="15"/>
  <c r="AB33" i="15"/>
  <c r="Z33" i="15"/>
  <c r="S33" i="15"/>
  <c r="P33" i="15"/>
  <c r="N33" i="15"/>
  <c r="C33" i="15"/>
  <c r="AE33" i="15" s="1"/>
  <c r="AF32" i="15"/>
  <c r="F19" i="10" s="1"/>
  <c r="AB32" i="15"/>
  <c r="P32" i="15"/>
  <c r="C32" i="15"/>
  <c r="AE32" i="15" s="1"/>
  <c r="AF31" i="15"/>
  <c r="F18" i="10" s="1"/>
  <c r="AB31" i="15"/>
  <c r="S31" i="15"/>
  <c r="P31" i="15"/>
  <c r="N31" i="15"/>
  <c r="C31" i="15"/>
  <c r="R31" i="15" s="1"/>
  <c r="AF30" i="15"/>
  <c r="F17" i="10" s="1"/>
  <c r="S30" i="15"/>
  <c r="N30" i="15"/>
  <c r="C30" i="15"/>
  <c r="AD30" i="15" s="1"/>
  <c r="AF29" i="15"/>
  <c r="F16" i="10" s="1"/>
  <c r="AB29" i="15"/>
  <c r="S29" i="15"/>
  <c r="P29" i="15"/>
  <c r="N29" i="15"/>
  <c r="C29" i="15"/>
  <c r="M29" i="15" s="1"/>
  <c r="AF28" i="15"/>
  <c r="F15" i="10" s="1"/>
  <c r="AB28" i="15"/>
  <c r="S28" i="15"/>
  <c r="P28" i="15"/>
  <c r="N28" i="15"/>
  <c r="C28" i="15"/>
  <c r="AD28" i="15" s="1"/>
  <c r="AB27" i="15"/>
  <c r="P27" i="15"/>
  <c r="C27" i="15"/>
  <c r="AD27" i="15" s="1"/>
  <c r="AG26" i="15"/>
  <c r="AJ26" i="15" s="1"/>
  <c r="AB26" i="15"/>
  <c r="V26" i="15"/>
  <c r="P26" i="15"/>
  <c r="AA26" i="15" s="1"/>
  <c r="AM26" i="15" s="1"/>
  <c r="O26" i="15"/>
  <c r="T26" i="15" s="1"/>
  <c r="C26" i="15"/>
  <c r="AE26" i="15" s="1"/>
  <c r="AG25" i="15"/>
  <c r="AJ25" i="15" s="1"/>
  <c r="AB25" i="15"/>
  <c r="V25" i="15"/>
  <c r="P25" i="15"/>
  <c r="AA25" i="15" s="1"/>
  <c r="AI25" i="15" s="1"/>
  <c r="O25" i="15"/>
  <c r="T25" i="15" s="1"/>
  <c r="C25" i="15"/>
  <c r="R25" i="15" s="1"/>
  <c r="AG24" i="15"/>
  <c r="AJ24" i="15" s="1"/>
  <c r="AB24" i="15"/>
  <c r="V24" i="15"/>
  <c r="P24" i="15"/>
  <c r="AA24" i="15" s="1"/>
  <c r="O24" i="15"/>
  <c r="T24" i="15" s="1"/>
  <c r="C24" i="15"/>
  <c r="M24" i="15" s="1"/>
  <c r="AG23" i="15"/>
  <c r="AJ23" i="15" s="1"/>
  <c r="AB23" i="15"/>
  <c r="V23" i="15"/>
  <c r="P23" i="15"/>
  <c r="AA23" i="15" s="1"/>
  <c r="O23" i="15"/>
  <c r="T23" i="15" s="1"/>
  <c r="C23" i="15"/>
  <c r="Y23" i="15" s="1"/>
  <c r="AF22" i="15"/>
  <c r="AB22" i="15"/>
  <c r="Z22" i="15"/>
  <c r="S22" i="15"/>
  <c r="P22" i="15"/>
  <c r="N22" i="15"/>
  <c r="C22" i="15"/>
  <c r="AE22" i="15" s="1"/>
  <c r="AF21" i="15"/>
  <c r="AB21" i="15"/>
  <c r="Z21" i="15"/>
  <c r="S21" i="15"/>
  <c r="P21" i="15"/>
  <c r="N21" i="15"/>
  <c r="C21" i="15"/>
  <c r="AE21" i="15" s="1"/>
  <c r="AF20" i="15"/>
  <c r="AB20" i="15"/>
  <c r="Z20" i="15"/>
  <c r="S20" i="15"/>
  <c r="P20" i="15"/>
  <c r="N20" i="15"/>
  <c r="C20" i="15"/>
  <c r="AF19" i="15"/>
  <c r="F8" i="10" s="1"/>
  <c r="AB19" i="15"/>
  <c r="Z19" i="15"/>
  <c r="S19" i="15"/>
  <c r="P19" i="15"/>
  <c r="N19" i="15"/>
  <c r="C19" i="15"/>
  <c r="M19" i="15" s="1"/>
  <c r="AF18" i="15"/>
  <c r="F7" i="10" s="1"/>
  <c r="AB18" i="15"/>
  <c r="P18" i="15"/>
  <c r="C18" i="15"/>
  <c r="L18" i="15" s="1"/>
  <c r="N18" i="15" s="1"/>
  <c r="AF17" i="15"/>
  <c r="F6" i="10" s="1"/>
  <c r="AB17" i="15"/>
  <c r="P17" i="15"/>
  <c r="C17" i="15"/>
  <c r="AF16" i="15"/>
  <c r="F28" i="10" s="1"/>
  <c r="AB16" i="15"/>
  <c r="S16" i="15"/>
  <c r="P16" i="15"/>
  <c r="N16" i="15"/>
  <c r="C16" i="15"/>
  <c r="AE16" i="15" s="1"/>
  <c r="AB15" i="15"/>
  <c r="P15" i="15"/>
  <c r="C15" i="15"/>
  <c r="M15" i="15" s="1"/>
  <c r="AF14" i="15"/>
  <c r="F13" i="10" s="1"/>
  <c r="AB14" i="15"/>
  <c r="S14" i="15"/>
  <c r="P14" i="15"/>
  <c r="N14" i="15"/>
  <c r="C14" i="15"/>
  <c r="R14" i="15" s="1"/>
  <c r="AF13" i="15"/>
  <c r="F12" i="10" s="1"/>
  <c r="AB13" i="15"/>
  <c r="S13" i="15"/>
  <c r="P13" i="15"/>
  <c r="N13" i="15"/>
  <c r="C13" i="15"/>
  <c r="M13" i="15" s="1"/>
  <c r="AF12" i="15"/>
  <c r="F11" i="10" s="1"/>
  <c r="AB12" i="15"/>
  <c r="S12" i="15"/>
  <c r="P12" i="15"/>
  <c r="N12" i="15"/>
  <c r="C12" i="15"/>
  <c r="AE12" i="15" s="1"/>
  <c r="AF11" i="15"/>
  <c r="F10" i="10" s="1"/>
  <c r="AB11" i="15"/>
  <c r="S11" i="15"/>
  <c r="P11" i="15"/>
  <c r="N11" i="15"/>
  <c r="C11" i="15"/>
  <c r="R11" i="15" s="1"/>
  <c r="AB10" i="15"/>
  <c r="P10" i="15"/>
  <c r="C10" i="15"/>
  <c r="AD10" i="15" s="1"/>
  <c r="AG9" i="15"/>
  <c r="AJ9" i="15" s="1"/>
  <c r="AB9" i="15"/>
  <c r="V9" i="15"/>
  <c r="P9" i="15"/>
  <c r="AA9" i="15" s="1"/>
  <c r="O9" i="15"/>
  <c r="C9" i="15"/>
  <c r="M9" i="15" s="1"/>
  <c r="AF8" i="15"/>
  <c r="F4" i="10" s="1"/>
  <c r="AB8" i="15"/>
  <c r="S8" i="15"/>
  <c r="P8" i="15"/>
  <c r="N8" i="15"/>
  <c r="C8" i="15"/>
  <c r="Y8" i="15" s="1"/>
  <c r="Z8" i="15" s="1"/>
  <c r="AB7" i="15"/>
  <c r="P7" i="15"/>
  <c r="H7" i="15" s="1"/>
  <c r="C7" i="15"/>
  <c r="Y7" i="15" s="1"/>
  <c r="Z7" i="15" s="1"/>
  <c r="AB6" i="15"/>
  <c r="P6" i="15"/>
  <c r="C6" i="15"/>
  <c r="Y6" i="15" s="1"/>
  <c r="Z6" i="15" s="1"/>
  <c r="AB6" i="13"/>
  <c r="O9" i="13"/>
  <c r="O23" i="13"/>
  <c r="O24" i="13"/>
  <c r="O25" i="13"/>
  <c r="O26" i="13"/>
  <c r="O41" i="13"/>
  <c r="O43" i="13"/>
  <c r="O44" i="13"/>
  <c r="O45" i="13"/>
  <c r="O48" i="13"/>
  <c r="O49" i="13"/>
  <c r="O55" i="13"/>
  <c r="O56" i="13"/>
  <c r="O57" i="13"/>
  <c r="O58" i="13"/>
  <c r="O59" i="13"/>
  <c r="E83" i="13" l="1"/>
  <c r="AA57" i="15"/>
  <c r="AM57" i="15" s="1"/>
  <c r="R10" i="15"/>
  <c r="S10" i="15" s="1"/>
  <c r="M27" i="15"/>
  <c r="L37" i="15"/>
  <c r="N37" i="15" s="1"/>
  <c r="AE27" i="15"/>
  <c r="AE10" i="15"/>
  <c r="AE19" i="15"/>
  <c r="H34" i="15"/>
  <c r="AG34" i="15" s="1"/>
  <c r="L38" i="15"/>
  <c r="V34" i="15"/>
  <c r="L49" i="15"/>
  <c r="AE40" i="15"/>
  <c r="M40" i="15"/>
  <c r="M53" i="15"/>
  <c r="R43" i="15"/>
  <c r="L10" i="15"/>
  <c r="N10" i="15" s="1"/>
  <c r="AE13" i="15"/>
  <c r="W24" i="15"/>
  <c r="AN24" i="15" s="1"/>
  <c r="AE25" i="15"/>
  <c r="R29" i="15"/>
  <c r="Y43" i="15"/>
  <c r="AA56" i="15"/>
  <c r="AI56" i="15" s="1"/>
  <c r="M10" i="15"/>
  <c r="L39" i="15"/>
  <c r="AE43" i="15"/>
  <c r="Y10" i="15"/>
  <c r="Z10" i="15" s="1"/>
  <c r="M21" i="15"/>
  <c r="M23" i="15"/>
  <c r="V20" i="15"/>
  <c r="W26" i="15"/>
  <c r="AL26" i="15" s="1"/>
  <c r="L27" i="15"/>
  <c r="N27" i="15" s="1"/>
  <c r="H27" i="15" s="1"/>
  <c r="O27" i="15" s="1"/>
  <c r="R40" i="15"/>
  <c r="AD37" i="15"/>
  <c r="R23" i="15"/>
  <c r="AA33" i="15"/>
  <c r="AI33" i="15" s="1"/>
  <c r="Y40" i="15"/>
  <c r="Y13" i="15"/>
  <c r="Z13" i="15" s="1"/>
  <c r="V13" i="15" s="1"/>
  <c r="AD39" i="15"/>
  <c r="L23" i="15"/>
  <c r="AD23" i="15"/>
  <c r="L13" i="15"/>
  <c r="R46" i="15"/>
  <c r="S46" i="15" s="1"/>
  <c r="M48" i="15"/>
  <c r="AD45" i="15"/>
  <c r="AF45" i="15" s="1"/>
  <c r="AG45" i="15" s="1"/>
  <c r="AJ45" i="15" s="1"/>
  <c r="H19" i="15"/>
  <c r="AG19" i="15" s="1"/>
  <c r="AJ19" i="15" s="1"/>
  <c r="H8" i="10" s="1"/>
  <c r="H20" i="15"/>
  <c r="O20" i="15" s="1"/>
  <c r="T20" i="15" s="1"/>
  <c r="H22" i="15"/>
  <c r="AG22" i="15" s="1"/>
  <c r="AJ22" i="15" s="1"/>
  <c r="L7" i="15"/>
  <c r="H12" i="15"/>
  <c r="O12" i="15" s="1"/>
  <c r="R13" i="15"/>
  <c r="L14" i="15"/>
  <c r="Y16" i="15"/>
  <c r="Z16" i="15" s="1"/>
  <c r="AA16" i="15" s="1"/>
  <c r="H21" i="15"/>
  <c r="O21" i="15" s="1"/>
  <c r="AE23" i="15"/>
  <c r="R27" i="15"/>
  <c r="S27" i="15" s="1"/>
  <c r="M31" i="15"/>
  <c r="M44" i="15"/>
  <c r="L45" i="15"/>
  <c r="N45" i="15" s="1"/>
  <c r="V45" i="15" s="1"/>
  <c r="AE45" i="15"/>
  <c r="AE46" i="15"/>
  <c r="M49" i="15"/>
  <c r="AE49" i="15"/>
  <c r="M51" i="15"/>
  <c r="W56" i="15"/>
  <c r="AN56" i="15" s="1"/>
  <c r="W57" i="15"/>
  <c r="AN57" i="15" s="1"/>
  <c r="H8" i="15"/>
  <c r="AG8" i="15" s="1"/>
  <c r="AJ8" i="15" s="1"/>
  <c r="H4" i="10" s="1"/>
  <c r="M14" i="15"/>
  <c r="V22" i="15"/>
  <c r="AD42" i="15"/>
  <c r="W43" i="15"/>
  <c r="AL43" i="15" s="1"/>
  <c r="M45" i="15"/>
  <c r="Y52" i="15"/>
  <c r="Z52" i="15" s="1"/>
  <c r="AA52" i="15" s="1"/>
  <c r="AE42" i="15"/>
  <c r="R53" i="15"/>
  <c r="W58" i="15"/>
  <c r="AN58" i="15" s="1"/>
  <c r="H13" i="15"/>
  <c r="AG13" i="15" s="1"/>
  <c r="H39" i="15"/>
  <c r="O39" i="15" s="1"/>
  <c r="T39" i="15" s="1"/>
  <c r="L46" i="15"/>
  <c r="N46" i="15" s="1"/>
  <c r="H46" i="15" s="1"/>
  <c r="AG46" i="15" s="1"/>
  <c r="R49" i="15"/>
  <c r="AE52" i="15"/>
  <c r="AA58" i="15"/>
  <c r="AM58" i="15" s="1"/>
  <c r="W59" i="15"/>
  <c r="AN59" i="15" s="1"/>
  <c r="H11" i="15"/>
  <c r="O11" i="15" s="1"/>
  <c r="W9" i="15"/>
  <c r="AL9" i="15" s="1"/>
  <c r="H14" i="15"/>
  <c r="O14" i="15" s="1"/>
  <c r="T14" i="15" s="1"/>
  <c r="L16" i="15"/>
  <c r="L6" i="15"/>
  <c r="L8" i="15"/>
  <c r="AD13" i="15"/>
  <c r="M16" i="15"/>
  <c r="V35" i="15"/>
  <c r="H40" i="15"/>
  <c r="O40" i="15" s="1"/>
  <c r="L43" i="15"/>
  <c r="AD43" i="15"/>
  <c r="R45" i="15"/>
  <c r="S45" i="15" s="1"/>
  <c r="T45" i="15" s="1"/>
  <c r="M46" i="15"/>
  <c r="AD48" i="15"/>
  <c r="Y53" i="15"/>
  <c r="Z53" i="15" s="1"/>
  <c r="AA53" i="15" s="1"/>
  <c r="T55" i="15"/>
  <c r="AA35" i="15"/>
  <c r="V39" i="15"/>
  <c r="W39" i="15" s="1"/>
  <c r="AA42" i="15"/>
  <c r="Y49" i="15"/>
  <c r="L53" i="15"/>
  <c r="N53" i="15" s="1"/>
  <c r="H53" i="15" s="1"/>
  <c r="AB61" i="15"/>
  <c r="E81" i="15" s="1"/>
  <c r="E83" i="15" s="1"/>
  <c r="P61" i="15"/>
  <c r="AA61" i="15" s="1"/>
  <c r="H36" i="15"/>
  <c r="O36" i="15" s="1"/>
  <c r="T36" i="15" s="1"/>
  <c r="T59" i="15"/>
  <c r="W55" i="15"/>
  <c r="T57" i="15"/>
  <c r="W23" i="15"/>
  <c r="AN23" i="15" s="1"/>
  <c r="H16" i="15"/>
  <c r="AG16" i="15" s="1"/>
  <c r="AA36" i="15"/>
  <c r="AA55" i="15"/>
  <c r="AH55" i="15" s="1"/>
  <c r="AA41" i="15"/>
  <c r="AI41" i="15" s="1"/>
  <c r="AI57" i="15"/>
  <c r="AA20" i="15"/>
  <c r="AA59" i="15"/>
  <c r="AM59" i="15" s="1"/>
  <c r="AA21" i="15"/>
  <c r="AM21" i="15" s="1"/>
  <c r="AI26" i="15"/>
  <c r="H18" i="15"/>
  <c r="O18" i="15" s="1"/>
  <c r="P30" i="15"/>
  <c r="H30" i="15" s="1"/>
  <c r="AB30" i="15"/>
  <c r="V6" i="15"/>
  <c r="AA6" i="15"/>
  <c r="AI9" i="15"/>
  <c r="AM9" i="15"/>
  <c r="AN26" i="15"/>
  <c r="AA7" i="15"/>
  <c r="V7" i="15"/>
  <c r="AA10" i="15"/>
  <c r="O7" i="15"/>
  <c r="AG7" i="15"/>
  <c r="AL24" i="15"/>
  <c r="AG12" i="15"/>
  <c r="V8" i="15"/>
  <c r="AA8" i="15"/>
  <c r="AM24" i="15"/>
  <c r="AI24" i="15"/>
  <c r="AH24" i="15"/>
  <c r="AE11" i="15"/>
  <c r="AN43" i="15"/>
  <c r="R47" i="15"/>
  <c r="M47" i="15"/>
  <c r="L47" i="15"/>
  <c r="N47" i="15" s="1"/>
  <c r="H47" i="15" s="1"/>
  <c r="Y47" i="15"/>
  <c r="Z47" i="15" s="1"/>
  <c r="AE47" i="15"/>
  <c r="AD47" i="15"/>
  <c r="R6" i="15"/>
  <c r="S6" i="15" s="1"/>
  <c r="R7" i="15"/>
  <c r="S7" i="15" s="1"/>
  <c r="AD9" i="15"/>
  <c r="AD14" i="15"/>
  <c r="Y15" i="15"/>
  <c r="Z15" i="15" s="1"/>
  <c r="AD16" i="15"/>
  <c r="AD18" i="15"/>
  <c r="M22" i="15"/>
  <c r="AA22" i="15"/>
  <c r="AH22" i="15" s="1"/>
  <c r="AH23" i="15"/>
  <c r="AD24" i="15"/>
  <c r="Y25" i="15"/>
  <c r="L25" i="15"/>
  <c r="AM25" i="15"/>
  <c r="H35" i="15"/>
  <c r="AA39" i="15"/>
  <c r="V40" i="15"/>
  <c r="AA40" i="15"/>
  <c r="AJ41" i="15"/>
  <c r="Y50" i="15"/>
  <c r="Z50" i="15" s="1"/>
  <c r="M50" i="15"/>
  <c r="R50" i="15"/>
  <c r="AE50" i="15"/>
  <c r="AD50" i="15"/>
  <c r="L50" i="15"/>
  <c r="N50" i="15" s="1"/>
  <c r="H50" i="15" s="1"/>
  <c r="Y17" i="15"/>
  <c r="Z17" i="15" s="1"/>
  <c r="R17" i="15"/>
  <c r="S17" i="15" s="1"/>
  <c r="AD6" i="15"/>
  <c r="AD7" i="15"/>
  <c r="R8" i="15"/>
  <c r="R9" i="15"/>
  <c r="AE9" i="15"/>
  <c r="L11" i="15"/>
  <c r="L12" i="15"/>
  <c r="R16" i="15"/>
  <c r="L17" i="15"/>
  <c r="N17" i="15" s="1"/>
  <c r="H17" i="15" s="1"/>
  <c r="R18" i="15"/>
  <c r="S18" i="15" s="1"/>
  <c r="AE18" i="15"/>
  <c r="R24" i="15"/>
  <c r="AE24" i="15"/>
  <c r="M25" i="15"/>
  <c r="AD25" i="15"/>
  <c r="M33" i="15"/>
  <c r="AE38" i="15"/>
  <c r="AD38" i="15"/>
  <c r="Y38" i="15"/>
  <c r="Z38" i="15" s="1"/>
  <c r="V42" i="15"/>
  <c r="AM44" i="15"/>
  <c r="AA54" i="15"/>
  <c r="AE6" i="15"/>
  <c r="AD8" i="15"/>
  <c r="M11" i="15"/>
  <c r="M12" i="15"/>
  <c r="Y12" i="15"/>
  <c r="Z12" i="15" s="1"/>
  <c r="M17" i="15"/>
  <c r="V19" i="15"/>
  <c r="AA19" i="15"/>
  <c r="Y26" i="15"/>
  <c r="L26" i="15"/>
  <c r="AD26" i="15"/>
  <c r="R28" i="15"/>
  <c r="M28" i="15"/>
  <c r="Y28" i="15"/>
  <c r="Z28" i="15" s="1"/>
  <c r="AE29" i="15"/>
  <c r="AD29" i="15"/>
  <c r="Y29" i="15"/>
  <c r="Z29" i="15" s="1"/>
  <c r="M30" i="15"/>
  <c r="R30" i="15"/>
  <c r="Y30" i="15"/>
  <c r="Z30" i="15" s="1"/>
  <c r="AE31" i="15"/>
  <c r="AD31" i="15"/>
  <c r="Y31" i="15"/>
  <c r="Z31" i="15" s="1"/>
  <c r="R32" i="15"/>
  <c r="S32" i="15" s="1"/>
  <c r="M32" i="15"/>
  <c r="Y32" i="15"/>
  <c r="Z32" i="15" s="1"/>
  <c r="V41" i="15"/>
  <c r="W41" i="15" s="1"/>
  <c r="R15" i="15"/>
  <c r="S15" i="15" s="1"/>
  <c r="L15" i="15"/>
  <c r="N15" i="15" s="1"/>
  <c r="H15" i="15" s="1"/>
  <c r="AE7" i="15"/>
  <c r="T9" i="15"/>
  <c r="Y11" i="15"/>
  <c r="Z11" i="15" s="1"/>
  <c r="H6" i="15"/>
  <c r="AG6" i="15" s="1"/>
  <c r="AE8" i="15"/>
  <c r="AH9" i="15"/>
  <c r="AE14" i="15"/>
  <c r="Y14" i="15"/>
  <c r="Z14" i="15" s="1"/>
  <c r="M20" i="15"/>
  <c r="AE20" i="15"/>
  <c r="V21" i="15"/>
  <c r="AI23" i="15"/>
  <c r="AM23" i="15"/>
  <c r="M26" i="15"/>
  <c r="L28" i="15"/>
  <c r="L29" i="15"/>
  <c r="L30" i="15"/>
  <c r="L31" i="15"/>
  <c r="L32" i="15"/>
  <c r="N32" i="15" s="1"/>
  <c r="H32" i="15" s="1"/>
  <c r="AD32" i="15"/>
  <c r="AH25" i="15"/>
  <c r="AI43" i="15"/>
  <c r="AH43" i="15"/>
  <c r="W44" i="15"/>
  <c r="AD17" i="15"/>
  <c r="M6" i="15"/>
  <c r="M7" i="15"/>
  <c r="L9" i="15"/>
  <c r="Y9" i="15"/>
  <c r="R12" i="15"/>
  <c r="AE15" i="15"/>
  <c r="L24" i="15"/>
  <c r="Y24" i="15"/>
  <c r="H28" i="15"/>
  <c r="AE28" i="15"/>
  <c r="AE30" i="15"/>
  <c r="R34" i="15"/>
  <c r="M34" i="15"/>
  <c r="L34" i="15"/>
  <c r="AE34" i="15"/>
  <c r="Y34" i="15"/>
  <c r="AE35" i="15"/>
  <c r="AD35" i="15"/>
  <c r="R35" i="15"/>
  <c r="Y35" i="15"/>
  <c r="L35" i="15"/>
  <c r="AD15" i="15"/>
  <c r="M8" i="15"/>
  <c r="AD12" i="15"/>
  <c r="AE17" i="15"/>
  <c r="Y18" i="15"/>
  <c r="Z18" i="15" s="1"/>
  <c r="AD11" i="15"/>
  <c r="M18" i="15"/>
  <c r="W25" i="15"/>
  <c r="R26" i="15"/>
  <c r="AH26" i="15"/>
  <c r="V33" i="15"/>
  <c r="AA34" i="15"/>
  <c r="M35" i="15"/>
  <c r="AE36" i="15"/>
  <c r="H37" i="15"/>
  <c r="R38" i="15"/>
  <c r="H42" i="15"/>
  <c r="AM43" i="15"/>
  <c r="AM45" i="15"/>
  <c r="AI45" i="15"/>
  <c r="AI48" i="15"/>
  <c r="AM48" i="15"/>
  <c r="AH48" i="15"/>
  <c r="AI49" i="15"/>
  <c r="AM49" i="15"/>
  <c r="AH57" i="15"/>
  <c r="AE44" i="15"/>
  <c r="R44" i="15"/>
  <c r="Y44" i="15"/>
  <c r="L44" i="15"/>
  <c r="W49" i="15"/>
  <c r="W48" i="15"/>
  <c r="R37" i="15"/>
  <c r="M37" i="15"/>
  <c r="M39" i="15"/>
  <c r="R39" i="15"/>
  <c r="Y41" i="15"/>
  <c r="L41" i="15"/>
  <c r="AD41" i="15"/>
  <c r="R41" i="15"/>
  <c r="M42" i="15"/>
  <c r="R42" i="15"/>
  <c r="AH44" i="15"/>
  <c r="AH49" i="15"/>
  <c r="AN55" i="15"/>
  <c r="H29" i="15"/>
  <c r="H31" i="15"/>
  <c r="H33" i="15"/>
  <c r="Y37" i="15"/>
  <c r="Z37" i="15" s="1"/>
  <c r="H38" i="15"/>
  <c r="Y39" i="15"/>
  <c r="AD40" i="15"/>
  <c r="M41" i="15"/>
  <c r="Y42" i="15"/>
  <c r="T48" i="15"/>
  <c r="L51" i="15"/>
  <c r="N51" i="15" s="1"/>
  <c r="H51" i="15" s="1"/>
  <c r="AE51" i="15"/>
  <c r="R51" i="15"/>
  <c r="Y51" i="15"/>
  <c r="Z51" i="15" s="1"/>
  <c r="AM56" i="15"/>
  <c r="L52" i="15"/>
  <c r="N52" i="15" s="1"/>
  <c r="H52" i="15" s="1"/>
  <c r="AD53" i="15"/>
  <c r="Y27" i="15"/>
  <c r="Z27" i="15" s="1"/>
  <c r="Y46" i="15"/>
  <c r="Z46" i="15" s="1"/>
  <c r="L48" i="15"/>
  <c r="Y48" i="15"/>
  <c r="M52" i="15"/>
  <c r="R54" i="15"/>
  <c r="S54" i="15" s="1"/>
  <c r="T58" i="15"/>
  <c r="AD54" i="15"/>
  <c r="AE54" i="15"/>
  <c r="T56" i="15"/>
  <c r="AH56" i="15"/>
  <c r="L54" i="15"/>
  <c r="N54" i="15" s="1"/>
  <c r="H54" i="15" s="1"/>
  <c r="R48" i="15"/>
  <c r="R52" i="15"/>
  <c r="M54" i="15"/>
  <c r="O22" i="15" l="1"/>
  <c r="W22" i="15" s="1"/>
  <c r="AL22" i="15" s="1"/>
  <c r="AL57" i="15"/>
  <c r="AH58" i="15"/>
  <c r="AI58" i="15"/>
  <c r="O34" i="15"/>
  <c r="W34" i="15" s="1"/>
  <c r="AM34" i="15" s="1"/>
  <c r="V10" i="15"/>
  <c r="H10" i="15"/>
  <c r="O10" i="15" s="1"/>
  <c r="V53" i="15"/>
  <c r="AM33" i="15"/>
  <c r="AL58" i="15"/>
  <c r="AH45" i="15"/>
  <c r="AL23" i="15"/>
  <c r="AI55" i="15"/>
  <c r="W36" i="15"/>
  <c r="AM36" i="15" s="1"/>
  <c r="V16" i="15"/>
  <c r="AG11" i="15"/>
  <c r="O13" i="15"/>
  <c r="W13" i="15" s="1"/>
  <c r="AL55" i="15"/>
  <c r="W20" i="15"/>
  <c r="AL20" i="15" s="1"/>
  <c r="AG20" i="15"/>
  <c r="AJ20" i="15" s="1"/>
  <c r="O46" i="15"/>
  <c r="T46" i="15" s="1"/>
  <c r="AG21" i="15"/>
  <c r="AH21" i="15" s="1"/>
  <c r="AJ16" i="15"/>
  <c r="H28" i="10" s="1"/>
  <c r="AA13" i="15"/>
  <c r="O8" i="15"/>
  <c r="T8" i="15" s="1"/>
  <c r="O19" i="15"/>
  <c r="W19" i="15" s="1"/>
  <c r="AM19" i="15" s="1"/>
  <c r="AM41" i="15"/>
  <c r="AG39" i="15"/>
  <c r="AH39" i="15" s="1"/>
  <c r="AJ13" i="15"/>
  <c r="H12" i="10" s="1"/>
  <c r="AL56" i="15"/>
  <c r="AG14" i="15"/>
  <c r="AJ14" i="15" s="1"/>
  <c r="H13" i="10" s="1"/>
  <c r="AG40" i="15"/>
  <c r="AJ40" i="15" s="1"/>
  <c r="H22" i="10" s="1"/>
  <c r="W45" i="15"/>
  <c r="AN45" i="15" s="1"/>
  <c r="AN9" i="15"/>
  <c r="X72" i="15"/>
  <c r="O53" i="15"/>
  <c r="AG53" i="15"/>
  <c r="AH53" i="15" s="1"/>
  <c r="AG36" i="15"/>
  <c r="AH36" i="15" s="1"/>
  <c r="AI59" i="15"/>
  <c r="AL59" i="15"/>
  <c r="AM55" i="15"/>
  <c r="AH59" i="15"/>
  <c r="AH16" i="15"/>
  <c r="AG27" i="15"/>
  <c r="AJ27" i="15" s="1"/>
  <c r="H14" i="10" s="1"/>
  <c r="AI21" i="15"/>
  <c r="AG61" i="15"/>
  <c r="AI61" i="15" s="1"/>
  <c r="AG18" i="15"/>
  <c r="O16" i="15"/>
  <c r="AH41" i="15"/>
  <c r="T61" i="15"/>
  <c r="W61" i="15" s="1"/>
  <c r="AN61" i="15" s="1"/>
  <c r="AM20" i="15"/>
  <c r="AI20" i="15"/>
  <c r="AG15" i="15"/>
  <c r="O15" i="15"/>
  <c r="O17" i="15"/>
  <c r="AG17" i="15"/>
  <c r="O51" i="15"/>
  <c r="AG51" i="15"/>
  <c r="T40" i="15"/>
  <c r="W40" i="15"/>
  <c r="AJ34" i="15"/>
  <c r="H20" i="10" s="1"/>
  <c r="AH34" i="15"/>
  <c r="AJ12" i="15"/>
  <c r="H11" i="10" s="1"/>
  <c r="AI13" i="15"/>
  <c r="O38" i="15"/>
  <c r="AG38" i="15"/>
  <c r="O42" i="15"/>
  <c r="AG42" i="15"/>
  <c r="AA11" i="15"/>
  <c r="V11" i="15"/>
  <c r="W11" i="15" s="1"/>
  <c r="V31" i="15"/>
  <c r="AA31" i="15"/>
  <c r="AI19" i="15"/>
  <c r="T12" i="15"/>
  <c r="T18" i="15"/>
  <c r="AA27" i="15"/>
  <c r="V27" i="15"/>
  <c r="W27" i="15" s="1"/>
  <c r="V37" i="15"/>
  <c r="AA37" i="15"/>
  <c r="AL48" i="15"/>
  <c r="AN48" i="15"/>
  <c r="V18" i="15"/>
  <c r="W18" i="15" s="1"/>
  <c r="AA18" i="15"/>
  <c r="AA14" i="15"/>
  <c r="V14" i="15"/>
  <c r="W14" i="15" s="1"/>
  <c r="AA28" i="15"/>
  <c r="V28" i="15"/>
  <c r="AM39" i="15"/>
  <c r="AI39" i="15"/>
  <c r="AI22" i="15"/>
  <c r="AM22" i="15"/>
  <c r="T21" i="15"/>
  <c r="W21" i="15"/>
  <c r="V51" i="15"/>
  <c r="AA51" i="15"/>
  <c r="AN39" i="15"/>
  <c r="AL39" i="15"/>
  <c r="AL25" i="15"/>
  <c r="AN25" i="15"/>
  <c r="AG32" i="15"/>
  <c r="O32" i="15"/>
  <c r="AN41" i="15"/>
  <c r="AL41" i="15"/>
  <c r="T27" i="15"/>
  <c r="AM10" i="15"/>
  <c r="AI10" i="15"/>
  <c r="O31" i="15"/>
  <c r="AG31" i="15"/>
  <c r="AG37" i="15"/>
  <c r="O37" i="15"/>
  <c r="AN44" i="15"/>
  <c r="AL44" i="15"/>
  <c r="AA30" i="15"/>
  <c r="V30" i="15"/>
  <c r="V54" i="15"/>
  <c r="AA50" i="15"/>
  <c r="V50" i="15"/>
  <c r="O35" i="15"/>
  <c r="AG35" i="15"/>
  <c r="AH20" i="15"/>
  <c r="AI8" i="15"/>
  <c r="AH8" i="15"/>
  <c r="AG54" i="15"/>
  <c r="O54" i="15"/>
  <c r="O29" i="15"/>
  <c r="AG29" i="15"/>
  <c r="AH13" i="15"/>
  <c r="AG30" i="15"/>
  <c r="O30" i="15"/>
  <c r="AA12" i="15"/>
  <c r="V12" i="15"/>
  <c r="W12" i="15" s="1"/>
  <c r="AA17" i="15"/>
  <c r="V17" i="15"/>
  <c r="AJ11" i="15"/>
  <c r="H10" i="10" s="1"/>
  <c r="AH19" i="15"/>
  <c r="O52" i="15"/>
  <c r="AG52" i="15"/>
  <c r="AI52" i="15" s="1"/>
  <c r="AG33" i="15"/>
  <c r="O33" i="15"/>
  <c r="V32" i="15"/>
  <c r="AA32" i="15"/>
  <c r="AI40" i="15"/>
  <c r="V47" i="15"/>
  <c r="AA47" i="15"/>
  <c r="T11" i="15"/>
  <c r="AJ7" i="15"/>
  <c r="H3" i="10" s="1"/>
  <c r="AH7" i="15"/>
  <c r="AI7" i="15"/>
  <c r="AI16" i="15"/>
  <c r="V46" i="15"/>
  <c r="AA46" i="15"/>
  <c r="AH46" i="15" s="1"/>
  <c r="AN49" i="15"/>
  <c r="AL49" i="15"/>
  <c r="V52" i="15"/>
  <c r="AI34" i="15"/>
  <c r="AG28" i="15"/>
  <c r="O28" i="15"/>
  <c r="AJ39" i="15"/>
  <c r="O6" i="15"/>
  <c r="AI6" i="15"/>
  <c r="V29" i="15"/>
  <c r="AA29" i="15"/>
  <c r="V38" i="15"/>
  <c r="AA38" i="15"/>
  <c r="AG50" i="15"/>
  <c r="O50" i="15"/>
  <c r="V15" i="15"/>
  <c r="AA15" i="15"/>
  <c r="AG47" i="15"/>
  <c r="O47" i="15"/>
  <c r="AJ46" i="15"/>
  <c r="H24" i="10" s="1"/>
  <c r="W7" i="15"/>
  <c r="T7" i="15"/>
  <c r="T22" i="15" l="1"/>
  <c r="AH11" i="15"/>
  <c r="T19" i="15"/>
  <c r="T13" i="15"/>
  <c r="AG10" i="15"/>
  <c r="T34" i="15"/>
  <c r="AN22" i="15"/>
  <c r="W53" i="15"/>
  <c r="AM53" i="15" s="1"/>
  <c r="W46" i="15"/>
  <c r="AN46" i="15" s="1"/>
  <c r="J24" i="10" s="1"/>
  <c r="AN36" i="15"/>
  <c r="J9" i="10" s="1"/>
  <c r="AL36" i="15"/>
  <c r="AN20" i="15"/>
  <c r="T53" i="15"/>
  <c r="AJ21" i="15"/>
  <c r="W8" i="15"/>
  <c r="AL8" i="15" s="1"/>
  <c r="AL45" i="15"/>
  <c r="AH40" i="15"/>
  <c r="AI53" i="15"/>
  <c r="AJ53" i="15"/>
  <c r="H32" i="10" s="1"/>
  <c r="AH18" i="15"/>
  <c r="AM61" i="15"/>
  <c r="AJ36" i="15"/>
  <c r="H9" i="10" s="1"/>
  <c r="AI36" i="15"/>
  <c r="AH61" i="15"/>
  <c r="AG72" i="15"/>
  <c r="AJ18" i="15"/>
  <c r="H7" i="10" s="1"/>
  <c r="AJ61" i="15"/>
  <c r="T16" i="15"/>
  <c r="W16" i="15"/>
  <c r="AM16" i="15" s="1"/>
  <c r="AH27" i="15"/>
  <c r="AL61" i="15"/>
  <c r="AL18" i="15"/>
  <c r="AN18" i="15"/>
  <c r="J7" i="10" s="1"/>
  <c r="AN13" i="15"/>
  <c r="J12" i="10" s="1"/>
  <c r="AL13" i="15"/>
  <c r="AH37" i="15"/>
  <c r="AJ37" i="15"/>
  <c r="H25" i="10" s="1"/>
  <c r="T38" i="15"/>
  <c r="W38" i="15"/>
  <c r="AM38" i="15" s="1"/>
  <c r="AI29" i="15"/>
  <c r="AI32" i="15"/>
  <c r="AH29" i="15"/>
  <c r="AJ29" i="15"/>
  <c r="H16" i="10" s="1"/>
  <c r="AH38" i="15"/>
  <c r="AJ38" i="15"/>
  <c r="H26" i="10" s="1"/>
  <c r="AA72" i="15"/>
  <c r="AI15" i="15"/>
  <c r="AI28" i="15"/>
  <c r="AH54" i="15"/>
  <c r="AJ54" i="15"/>
  <c r="H33" i="10" s="1"/>
  <c r="AI54" i="15"/>
  <c r="T29" i="15"/>
  <c r="W29" i="15"/>
  <c r="AI17" i="15"/>
  <c r="W54" i="15"/>
  <c r="T54" i="15"/>
  <c r="AL40" i="15"/>
  <c r="AN40" i="15"/>
  <c r="J22" i="10" s="1"/>
  <c r="AL7" i="15"/>
  <c r="AN7" i="15"/>
  <c r="J3" i="10" s="1"/>
  <c r="W6" i="15"/>
  <c r="T6" i="15"/>
  <c r="AJ33" i="15"/>
  <c r="AH33" i="15"/>
  <c r="AI30" i="15"/>
  <c r="W50" i="15"/>
  <c r="AM50" i="15" s="1"/>
  <c r="T50" i="15"/>
  <c r="AM7" i="15"/>
  <c r="AI47" i="15"/>
  <c r="AJ52" i="15"/>
  <c r="H31" i="10" s="1"/>
  <c r="AH52" i="15"/>
  <c r="AI12" i="15"/>
  <c r="AM12" i="15"/>
  <c r="T35" i="15"/>
  <c r="W35" i="15"/>
  <c r="AH31" i="15"/>
  <c r="AJ31" i="15"/>
  <c r="H18" i="10" s="1"/>
  <c r="AI51" i="15"/>
  <c r="AI37" i="15"/>
  <c r="AJ10" i="15"/>
  <c r="AH10" i="15"/>
  <c r="AI31" i="15"/>
  <c r="AH42" i="15"/>
  <c r="AJ42" i="15"/>
  <c r="H23" i="10" s="1"/>
  <c r="AI42" i="15"/>
  <c r="W47" i="15"/>
  <c r="AM47" i="15" s="1"/>
  <c r="T47" i="15"/>
  <c r="AN27" i="15"/>
  <c r="J14" i="10" s="1"/>
  <c r="AL27" i="15"/>
  <c r="AJ6" i="15"/>
  <c r="H2" i="10" s="1"/>
  <c r="AH6" i="15"/>
  <c r="AH17" i="15"/>
  <c r="AJ17" i="15"/>
  <c r="H6" i="10" s="1"/>
  <c r="AL11" i="15"/>
  <c r="AN11" i="15"/>
  <c r="J10" i="10" s="1"/>
  <c r="AJ35" i="15"/>
  <c r="H21" i="10" s="1"/>
  <c r="AH35" i="15"/>
  <c r="AI35" i="15"/>
  <c r="AI46" i="15"/>
  <c r="W52" i="15"/>
  <c r="T52" i="15"/>
  <c r="W30" i="15"/>
  <c r="T30" i="15"/>
  <c r="T31" i="15"/>
  <c r="W31" i="15"/>
  <c r="AM14" i="15"/>
  <c r="AI14" i="15"/>
  <c r="AH14" i="15"/>
  <c r="W10" i="15"/>
  <c r="T10" i="15"/>
  <c r="W42" i="15"/>
  <c r="T42" i="15"/>
  <c r="AM13" i="15"/>
  <c r="W37" i="15"/>
  <c r="AM37" i="15" s="1"/>
  <c r="T37" i="15"/>
  <c r="AH47" i="15"/>
  <c r="AJ47" i="15"/>
  <c r="H27" i="10" s="1"/>
  <c r="W33" i="15"/>
  <c r="T33" i="15"/>
  <c r="AN14" i="15"/>
  <c r="J13" i="10" s="1"/>
  <c r="AL14" i="15"/>
  <c r="AL19" i="15"/>
  <c r="AN19" i="15"/>
  <c r="J8" i="10" s="1"/>
  <c r="T17" i="15"/>
  <c r="W17" i="15"/>
  <c r="AM17" i="15" s="1"/>
  <c r="AH50" i="15"/>
  <c r="AJ50" i="15"/>
  <c r="H29" i="10" s="1"/>
  <c r="AI38" i="15"/>
  <c r="W28" i="15"/>
  <c r="T28" i="15"/>
  <c r="AM40" i="15"/>
  <c r="AH30" i="15"/>
  <c r="AJ30" i="15"/>
  <c r="H17" i="10" s="1"/>
  <c r="AI50" i="15"/>
  <c r="W32" i="15"/>
  <c r="AM32" i="15" s="1"/>
  <c r="T32" i="15"/>
  <c r="AN21" i="15"/>
  <c r="AL21" i="15"/>
  <c r="AI18" i="15"/>
  <c r="AM18" i="15"/>
  <c r="AH12" i="15"/>
  <c r="AH51" i="15"/>
  <c r="AJ51" i="15"/>
  <c r="H30" i="10" s="1"/>
  <c r="T15" i="15"/>
  <c r="W15" i="15"/>
  <c r="AL34" i="15"/>
  <c r="AN34" i="15"/>
  <c r="J20" i="10" s="1"/>
  <c r="AH28" i="15"/>
  <c r="AJ28" i="15"/>
  <c r="H15" i="10" s="1"/>
  <c r="AH32" i="15"/>
  <c r="AJ32" i="15"/>
  <c r="H19" i="10" s="1"/>
  <c r="AI27" i="15"/>
  <c r="AM27" i="15"/>
  <c r="AN12" i="15"/>
  <c r="J11" i="10" s="1"/>
  <c r="AL12" i="15"/>
  <c r="AM11" i="15"/>
  <c r="AI11" i="15"/>
  <c r="AN53" i="15"/>
  <c r="J32" i="10" s="1"/>
  <c r="T51" i="15"/>
  <c r="W51" i="15"/>
  <c r="AM51" i="15" s="1"/>
  <c r="AH15" i="15"/>
  <c r="AJ15" i="15"/>
  <c r="H5" i="10" s="1"/>
  <c r="AL53" i="15" l="1"/>
  <c r="AM46" i="15"/>
  <c r="AL46" i="15"/>
  <c r="AM8" i="15"/>
  <c r="AN8" i="15"/>
  <c r="J4" i="10" s="1"/>
  <c r="AJ72" i="15"/>
  <c r="H46" i="10" s="1"/>
  <c r="AI72" i="15"/>
  <c r="AH72" i="15"/>
  <c r="AN16" i="15"/>
  <c r="J28" i="10" s="1"/>
  <c r="AL16" i="15"/>
  <c r="AL28" i="15"/>
  <c r="AN28" i="15"/>
  <c r="J15" i="10" s="1"/>
  <c r="AN31" i="15"/>
  <c r="J18" i="10" s="1"/>
  <c r="AL31" i="15"/>
  <c r="T72" i="15"/>
  <c r="AN35" i="15"/>
  <c r="J21" i="10" s="1"/>
  <c r="AL35" i="15"/>
  <c r="AM35" i="15"/>
  <c r="W72" i="15"/>
  <c r="AL6" i="15"/>
  <c r="AN6" i="15"/>
  <c r="J2" i="10" s="1"/>
  <c r="AM6" i="15"/>
  <c r="AM28" i="15"/>
  <c r="AM31" i="15"/>
  <c r="AN38" i="15"/>
  <c r="J26" i="10" s="1"/>
  <c r="AL38" i="15"/>
  <c r="AL42" i="15"/>
  <c r="AN42" i="15"/>
  <c r="J23" i="10" s="1"/>
  <c r="AM42" i="15"/>
  <c r="AN33" i="15"/>
  <c r="AL33" i="15"/>
  <c r="AL30" i="15"/>
  <c r="AN30" i="15"/>
  <c r="J17" i="10" s="1"/>
  <c r="AL17" i="15"/>
  <c r="AN17" i="15"/>
  <c r="J6" i="10" s="1"/>
  <c r="AN10" i="15"/>
  <c r="AL10" i="15"/>
  <c r="AL52" i="15"/>
  <c r="AN52" i="15"/>
  <c r="J31" i="10" s="1"/>
  <c r="AM52" i="15"/>
  <c r="AL47" i="15"/>
  <c r="AN47" i="15"/>
  <c r="J27" i="10" s="1"/>
  <c r="AN50" i="15"/>
  <c r="J29" i="10" s="1"/>
  <c r="AL50" i="15"/>
  <c r="AL32" i="15"/>
  <c r="AN32" i="15"/>
  <c r="J19" i="10" s="1"/>
  <c r="AN54" i="15"/>
  <c r="J33" i="10" s="1"/>
  <c r="AL54" i="15"/>
  <c r="AM54" i="15"/>
  <c r="AN29" i="15"/>
  <c r="J16" i="10" s="1"/>
  <c r="AL29" i="15"/>
  <c r="AN51" i="15"/>
  <c r="J30" i="10" s="1"/>
  <c r="AL51" i="15"/>
  <c r="AN15" i="15"/>
  <c r="J5" i="10" s="1"/>
  <c r="AL15" i="15"/>
  <c r="AM30" i="15"/>
  <c r="AM15" i="15"/>
  <c r="AM29" i="15"/>
  <c r="AL37" i="15"/>
  <c r="AN37" i="15"/>
  <c r="J25" i="10" s="1"/>
  <c r="T74" i="15" l="1"/>
  <c r="AN72" i="15"/>
  <c r="J46" i="10" s="1"/>
  <c r="AM72" i="15"/>
  <c r="AL72" i="15"/>
  <c r="AG9" i="13" l="1"/>
  <c r="AJ9" i="13" s="1"/>
  <c r="AG23" i="13"/>
  <c r="AG24" i="13"/>
  <c r="AG25" i="13"/>
  <c r="AJ25" i="13" s="1"/>
  <c r="AG26" i="13"/>
  <c r="AG41" i="13"/>
  <c r="AJ41" i="13" s="1"/>
  <c r="AG43" i="13"/>
  <c r="AJ43" i="13" s="1"/>
  <c r="AG44" i="13"/>
  <c r="AG48" i="13"/>
  <c r="AJ48" i="13" s="1"/>
  <c r="AG49" i="13"/>
  <c r="AJ49" i="13" s="1"/>
  <c r="Z62" i="13"/>
  <c r="Z63" i="13"/>
  <c r="Z64" i="13"/>
  <c r="Z65" i="13"/>
  <c r="Z66" i="13"/>
  <c r="Z67" i="13"/>
  <c r="Z68" i="13"/>
  <c r="Z69" i="13"/>
  <c r="Z70" i="13"/>
  <c r="Z71" i="13"/>
  <c r="C71" i="13"/>
  <c r="C70" i="13"/>
  <c r="C69" i="13"/>
  <c r="C68" i="13"/>
  <c r="C67" i="13"/>
  <c r="C66" i="13"/>
  <c r="C65" i="13"/>
  <c r="C64" i="13"/>
  <c r="C63" i="13"/>
  <c r="C62" i="13"/>
  <c r="AC61" i="13"/>
  <c r="AF61" i="13" s="1"/>
  <c r="V61" i="13"/>
  <c r="Q61" i="13"/>
  <c r="S61" i="13" s="1"/>
  <c r="C60" i="13"/>
  <c r="AF59" i="13"/>
  <c r="AG59" i="13" s="1"/>
  <c r="AB59" i="13"/>
  <c r="Z59" i="13"/>
  <c r="V59" i="13"/>
  <c r="S59" i="13"/>
  <c r="T59" i="13" s="1"/>
  <c r="P59" i="13"/>
  <c r="N59" i="13"/>
  <c r="C59" i="13"/>
  <c r="AF58" i="13"/>
  <c r="AG58" i="13" s="1"/>
  <c r="AB58" i="13"/>
  <c r="Z58" i="13"/>
  <c r="V58" i="13"/>
  <c r="W58" i="13" s="1"/>
  <c r="AN58" i="13" s="1"/>
  <c r="S58" i="13"/>
  <c r="T58" i="13" s="1"/>
  <c r="P58" i="13"/>
  <c r="N58" i="13"/>
  <c r="C58" i="13"/>
  <c r="AF57" i="13"/>
  <c r="AG57" i="13" s="1"/>
  <c r="AB57" i="13"/>
  <c r="Z57" i="13"/>
  <c r="V57" i="13"/>
  <c r="S57" i="13"/>
  <c r="P57" i="13"/>
  <c r="N57" i="13"/>
  <c r="C57" i="13"/>
  <c r="AF56" i="13"/>
  <c r="AG56" i="13" s="1"/>
  <c r="AB56" i="13"/>
  <c r="Z56" i="13"/>
  <c r="V56" i="13"/>
  <c r="S56" i="13"/>
  <c r="P56" i="13"/>
  <c r="N56" i="13"/>
  <c r="C56" i="13"/>
  <c r="AF55" i="13"/>
  <c r="AG55" i="13" s="1"/>
  <c r="AB55" i="13"/>
  <c r="Z55" i="13"/>
  <c r="V55" i="13"/>
  <c r="S55" i="13"/>
  <c r="T55" i="13" s="1"/>
  <c r="P55" i="13"/>
  <c r="N55" i="13"/>
  <c r="C55" i="13"/>
  <c r="AB54" i="13"/>
  <c r="P54" i="13"/>
  <c r="C54" i="13"/>
  <c r="R54" i="13" s="1"/>
  <c r="S54" i="13" s="1"/>
  <c r="AF53" i="13"/>
  <c r="AB53" i="13"/>
  <c r="S53" i="13"/>
  <c r="P53" i="13"/>
  <c r="C53" i="13"/>
  <c r="AD53" i="13" s="1"/>
  <c r="AF52" i="13"/>
  <c r="AB52" i="13"/>
  <c r="S52" i="13"/>
  <c r="P52" i="13"/>
  <c r="C52" i="13"/>
  <c r="AE52" i="13" s="1"/>
  <c r="AF51" i="13"/>
  <c r="AB51" i="13"/>
  <c r="S51" i="13"/>
  <c r="P51" i="13"/>
  <c r="C51" i="13"/>
  <c r="AE51" i="13" s="1"/>
  <c r="AF50" i="13"/>
  <c r="AB50" i="13"/>
  <c r="S50" i="13"/>
  <c r="P50" i="13"/>
  <c r="C50" i="13"/>
  <c r="AE50" i="13" s="1"/>
  <c r="AB49" i="13"/>
  <c r="V49" i="13"/>
  <c r="W49" i="13" s="1"/>
  <c r="T49" i="13"/>
  <c r="P49" i="13"/>
  <c r="AA49" i="13" s="1"/>
  <c r="C49" i="13"/>
  <c r="AB48" i="13"/>
  <c r="V48" i="13"/>
  <c r="W48" i="13" s="1"/>
  <c r="T48" i="13"/>
  <c r="P48" i="13"/>
  <c r="AA48" i="13" s="1"/>
  <c r="AI48" i="13" s="1"/>
  <c r="C48" i="13"/>
  <c r="L48" i="13" s="1"/>
  <c r="AF47" i="13"/>
  <c r="AB47" i="13"/>
  <c r="S47" i="13"/>
  <c r="P47" i="13"/>
  <c r="C47" i="13"/>
  <c r="L47" i="13" s="1"/>
  <c r="N47" i="13" s="1"/>
  <c r="AB46" i="13"/>
  <c r="P46" i="13"/>
  <c r="C46" i="13"/>
  <c r="L46" i="13" s="1"/>
  <c r="N46" i="13" s="1"/>
  <c r="AB45" i="13"/>
  <c r="P45" i="13"/>
  <c r="AA45" i="13" s="1"/>
  <c r="C45" i="13"/>
  <c r="Y45" i="13" s="1"/>
  <c r="AJ44" i="13"/>
  <c r="AB44" i="13"/>
  <c r="V44" i="13"/>
  <c r="W44" i="13" s="1"/>
  <c r="AN44" i="13" s="1"/>
  <c r="T44" i="13"/>
  <c r="P44" i="13"/>
  <c r="AA44" i="13" s="1"/>
  <c r="AM44" i="13" s="1"/>
  <c r="C44" i="13"/>
  <c r="AE44" i="13" s="1"/>
  <c r="AB43" i="13"/>
  <c r="V43" i="13"/>
  <c r="W43" i="13" s="1"/>
  <c r="AN43" i="13" s="1"/>
  <c r="T43" i="13"/>
  <c r="P43" i="13"/>
  <c r="AA43" i="13" s="1"/>
  <c r="C43" i="13"/>
  <c r="M43" i="13" s="1"/>
  <c r="AB42" i="13"/>
  <c r="Z42" i="13"/>
  <c r="S42" i="13"/>
  <c r="P42" i="13"/>
  <c r="N42" i="13"/>
  <c r="C42" i="13"/>
  <c r="Y42" i="13" s="1"/>
  <c r="AB41" i="13"/>
  <c r="Z41" i="13"/>
  <c r="V41" i="13" s="1"/>
  <c r="W41" i="13" s="1"/>
  <c r="T41" i="13"/>
  <c r="R41" i="13"/>
  <c r="P41" i="13"/>
  <c r="C41" i="13"/>
  <c r="Y41" i="13" s="1"/>
  <c r="AB40" i="13"/>
  <c r="Z40" i="13"/>
  <c r="S40" i="13"/>
  <c r="P40" i="13"/>
  <c r="N40" i="13"/>
  <c r="C40" i="13"/>
  <c r="AE40" i="13" s="1"/>
  <c r="AB39" i="13"/>
  <c r="Z39" i="13"/>
  <c r="S39" i="13"/>
  <c r="P39" i="13"/>
  <c r="N39" i="13"/>
  <c r="M39" i="13"/>
  <c r="C39" i="13"/>
  <c r="AE39" i="13" s="1"/>
  <c r="AF38" i="13"/>
  <c r="AB38" i="13"/>
  <c r="S38" i="13"/>
  <c r="P38" i="13"/>
  <c r="N38" i="13"/>
  <c r="C38" i="13"/>
  <c r="R38" i="13" s="1"/>
  <c r="AF37" i="13"/>
  <c r="AB37" i="13"/>
  <c r="S37" i="13"/>
  <c r="P37" i="13"/>
  <c r="C37" i="13"/>
  <c r="AE37" i="13" s="1"/>
  <c r="AB36" i="13"/>
  <c r="S36" i="13"/>
  <c r="P36" i="13"/>
  <c r="N36" i="13"/>
  <c r="V36" i="13" s="1"/>
  <c r="C36" i="13"/>
  <c r="M36" i="13" s="1"/>
  <c r="AF35" i="13"/>
  <c r="AB35" i="13"/>
  <c r="Z35" i="13"/>
  <c r="S35" i="13"/>
  <c r="P35" i="13"/>
  <c r="N35" i="13"/>
  <c r="C35" i="13"/>
  <c r="AD35" i="13" s="1"/>
  <c r="AF34" i="13"/>
  <c r="AB34" i="13"/>
  <c r="Z34" i="13"/>
  <c r="S34" i="13"/>
  <c r="P34" i="13"/>
  <c r="N34" i="13"/>
  <c r="C34" i="13"/>
  <c r="AE34" i="13" s="1"/>
  <c r="AF33" i="13"/>
  <c r="AB33" i="13"/>
  <c r="Z33" i="13"/>
  <c r="S33" i="13"/>
  <c r="P33" i="13"/>
  <c r="N33" i="13"/>
  <c r="C33" i="13"/>
  <c r="AE33" i="13" s="1"/>
  <c r="AF32" i="13"/>
  <c r="AB32" i="13"/>
  <c r="P32" i="13"/>
  <c r="M32" i="13"/>
  <c r="C32" i="13"/>
  <c r="AE32" i="13" s="1"/>
  <c r="AF31" i="13"/>
  <c r="AB31" i="13"/>
  <c r="S31" i="13"/>
  <c r="P31" i="13"/>
  <c r="N31" i="13"/>
  <c r="C31" i="13"/>
  <c r="AF30" i="13"/>
  <c r="S30" i="13"/>
  <c r="N30" i="13"/>
  <c r="P30" i="13"/>
  <c r="C30" i="13"/>
  <c r="AD30" i="13" s="1"/>
  <c r="AF29" i="13"/>
  <c r="AB29" i="13"/>
  <c r="S29" i="13"/>
  <c r="P29" i="13"/>
  <c r="N29" i="13"/>
  <c r="C29" i="13"/>
  <c r="AF28" i="13"/>
  <c r="AB28" i="13"/>
  <c r="S28" i="13"/>
  <c r="P28" i="13"/>
  <c r="N28" i="13"/>
  <c r="C28" i="13"/>
  <c r="R28" i="13" s="1"/>
  <c r="P27" i="13"/>
  <c r="AB27" i="13"/>
  <c r="C27" i="13"/>
  <c r="L27" i="13" s="1"/>
  <c r="N27" i="13" s="1"/>
  <c r="AJ26" i="13"/>
  <c r="AB26" i="13"/>
  <c r="V26" i="13"/>
  <c r="W26" i="13" s="1"/>
  <c r="AN26" i="13" s="1"/>
  <c r="T26" i="13"/>
  <c r="R26" i="13"/>
  <c r="P26" i="13"/>
  <c r="AA26" i="13" s="1"/>
  <c r="C26" i="13"/>
  <c r="Y26" i="13" s="1"/>
  <c r="AB25" i="13"/>
  <c r="V25" i="13"/>
  <c r="W25" i="13" s="1"/>
  <c r="T25" i="13"/>
  <c r="P25" i="13"/>
  <c r="AA25" i="13" s="1"/>
  <c r="AM25" i="13" s="1"/>
  <c r="C25" i="13"/>
  <c r="M25" i="13" s="1"/>
  <c r="AJ24" i="13"/>
  <c r="AB24" i="13"/>
  <c r="V24" i="13"/>
  <c r="W24" i="13" s="1"/>
  <c r="T24" i="13"/>
  <c r="P24" i="13"/>
  <c r="AA24" i="13" s="1"/>
  <c r="C24" i="13"/>
  <c r="Y24" i="13" s="1"/>
  <c r="AJ23" i="13"/>
  <c r="AB23" i="13"/>
  <c r="V23" i="13"/>
  <c r="W23" i="13" s="1"/>
  <c r="AN23" i="13" s="1"/>
  <c r="T23" i="13"/>
  <c r="P23" i="13"/>
  <c r="AA23" i="13" s="1"/>
  <c r="AI23" i="13" s="1"/>
  <c r="C23" i="13"/>
  <c r="Y23" i="13" s="1"/>
  <c r="AF22" i="13"/>
  <c r="AB22" i="13"/>
  <c r="Z22" i="13"/>
  <c r="S22" i="13"/>
  <c r="P22" i="13"/>
  <c r="N22" i="13"/>
  <c r="C22" i="13"/>
  <c r="AE22" i="13" s="1"/>
  <c r="AF21" i="13"/>
  <c r="AB21" i="13"/>
  <c r="Z21" i="13"/>
  <c r="S21" i="13"/>
  <c r="P21" i="13"/>
  <c r="N21" i="13"/>
  <c r="C21" i="13"/>
  <c r="AE21" i="13" s="1"/>
  <c r="AF20" i="13"/>
  <c r="AB20" i="13"/>
  <c r="Z20" i="13"/>
  <c r="S20" i="13"/>
  <c r="P20" i="13"/>
  <c r="N20" i="13"/>
  <c r="C20" i="13"/>
  <c r="AE20" i="13" s="1"/>
  <c r="AF19" i="13"/>
  <c r="Z19" i="13"/>
  <c r="S19" i="13"/>
  <c r="P19" i="13"/>
  <c r="N19" i="13"/>
  <c r="C19" i="13"/>
  <c r="AE19" i="13" s="1"/>
  <c r="AF18" i="13"/>
  <c r="AB18" i="13"/>
  <c r="P18" i="13"/>
  <c r="C18" i="13"/>
  <c r="AE18" i="13" s="1"/>
  <c r="AF17" i="13"/>
  <c r="AB17" i="13"/>
  <c r="P17" i="13"/>
  <c r="C17" i="13"/>
  <c r="Y17" i="13" s="1"/>
  <c r="Z17" i="13" s="1"/>
  <c r="AF16" i="13"/>
  <c r="AB16" i="13"/>
  <c r="S16" i="13"/>
  <c r="P16" i="13"/>
  <c r="N16" i="13"/>
  <c r="C16" i="13"/>
  <c r="Y16" i="13" s="1"/>
  <c r="Z16" i="13" s="1"/>
  <c r="AB15" i="13"/>
  <c r="P15" i="13"/>
  <c r="P61" i="13" s="1"/>
  <c r="C15" i="13"/>
  <c r="L15" i="13" s="1"/>
  <c r="N15" i="13" s="1"/>
  <c r="AF14" i="13"/>
  <c r="AB14" i="13"/>
  <c r="S14" i="13"/>
  <c r="P14" i="13"/>
  <c r="N14" i="13"/>
  <c r="C14" i="13"/>
  <c r="AE14" i="13" s="1"/>
  <c r="AF13" i="13"/>
  <c r="AB13" i="13"/>
  <c r="S13" i="13"/>
  <c r="P13" i="13"/>
  <c r="N13" i="13"/>
  <c r="C13" i="13"/>
  <c r="AD13" i="13" s="1"/>
  <c r="AF12" i="13"/>
  <c r="AB12" i="13"/>
  <c r="S12" i="13"/>
  <c r="P12" i="13"/>
  <c r="N12" i="13"/>
  <c r="C12" i="13"/>
  <c r="AE12" i="13" s="1"/>
  <c r="AF11" i="13"/>
  <c r="AB11" i="13"/>
  <c r="S11" i="13"/>
  <c r="P11" i="13"/>
  <c r="N11" i="13"/>
  <c r="C11" i="13"/>
  <c r="AB10" i="13"/>
  <c r="P10" i="13"/>
  <c r="C10" i="13"/>
  <c r="R10" i="13" s="1"/>
  <c r="S10" i="13" s="1"/>
  <c r="AB9" i="13"/>
  <c r="V9" i="13"/>
  <c r="W9" i="13" s="1"/>
  <c r="AN9" i="13" s="1"/>
  <c r="T9" i="13"/>
  <c r="P9" i="13"/>
  <c r="AA9" i="13" s="1"/>
  <c r="C9" i="13"/>
  <c r="L9" i="13" s="1"/>
  <c r="AF8" i="13"/>
  <c r="AB8" i="13"/>
  <c r="S8" i="13"/>
  <c r="P8" i="13"/>
  <c r="N8" i="13"/>
  <c r="C8" i="13"/>
  <c r="AE8" i="13" s="1"/>
  <c r="AB7" i="13"/>
  <c r="P7" i="13"/>
  <c r="H7" i="13" s="1"/>
  <c r="C7" i="13"/>
  <c r="AE7" i="13" s="1"/>
  <c r="P6" i="13"/>
  <c r="C6" i="13"/>
  <c r="AD6" i="13" s="1"/>
  <c r="AD10" i="13" l="1"/>
  <c r="L18" i="13"/>
  <c r="N18" i="13" s="1"/>
  <c r="AE10" i="13"/>
  <c r="M27" i="13"/>
  <c r="W55" i="13"/>
  <c r="H16" i="13"/>
  <c r="H28" i="13"/>
  <c r="L39" i="13"/>
  <c r="AD39" i="13"/>
  <c r="AE6" i="13"/>
  <c r="H27" i="13"/>
  <c r="L30" i="13"/>
  <c r="H40" i="13"/>
  <c r="R27" i="13"/>
  <c r="S27" i="13" s="1"/>
  <c r="Y39" i="13"/>
  <c r="V40" i="13"/>
  <c r="M47" i="13"/>
  <c r="M50" i="13"/>
  <c r="L13" i="13"/>
  <c r="M17" i="13"/>
  <c r="M51" i="13"/>
  <c r="M13" i="13"/>
  <c r="H21" i="13"/>
  <c r="H42" i="13"/>
  <c r="O42" i="13" s="1"/>
  <c r="T42" i="13" s="1"/>
  <c r="W59" i="13"/>
  <c r="R47" i="13"/>
  <c r="V22" i="13"/>
  <c r="V21" i="13"/>
  <c r="Y27" i="13"/>
  <c r="Z27" i="13" s="1"/>
  <c r="M46" i="13"/>
  <c r="Y47" i="13"/>
  <c r="Z47" i="13" s="1"/>
  <c r="H22" i="13"/>
  <c r="O22" i="13" s="1"/>
  <c r="T22" i="13" s="1"/>
  <c r="Y13" i="13"/>
  <c r="Z13" i="13" s="1"/>
  <c r="AA35" i="13"/>
  <c r="V19" i="13"/>
  <c r="Y30" i="13"/>
  <c r="Z30" i="13" s="1"/>
  <c r="V30" i="13" s="1"/>
  <c r="V34" i="13"/>
  <c r="AA36" i="13"/>
  <c r="Y18" i="13"/>
  <c r="Z18" i="13" s="1"/>
  <c r="M30" i="13"/>
  <c r="R32" i="13"/>
  <c r="S32" i="13" s="1"/>
  <c r="M37" i="13"/>
  <c r="R42" i="13"/>
  <c r="Y46" i="13"/>
  <c r="Z46" i="13" s="1"/>
  <c r="AA46" i="13" s="1"/>
  <c r="R12" i="13"/>
  <c r="H11" i="13"/>
  <c r="AG11" i="13" s="1"/>
  <c r="AD18" i="13"/>
  <c r="R30" i="13"/>
  <c r="L35" i="13"/>
  <c r="R37" i="13"/>
  <c r="AA41" i="13"/>
  <c r="AI41" i="13" s="1"/>
  <c r="L44" i="13"/>
  <c r="AD48" i="13"/>
  <c r="V35" i="13"/>
  <c r="AA34" i="13"/>
  <c r="Y37" i="13"/>
  <c r="Z37" i="13" s="1"/>
  <c r="AA37" i="13" s="1"/>
  <c r="R44" i="13"/>
  <c r="M18" i="13"/>
  <c r="AE30" i="13"/>
  <c r="L42" i="13"/>
  <c r="M48" i="13"/>
  <c r="L7" i="13"/>
  <c r="H8" i="13"/>
  <c r="AD24" i="13"/>
  <c r="AE36" i="13"/>
  <c r="L40" i="13"/>
  <c r="AD43" i="13"/>
  <c r="L6" i="13"/>
  <c r="AG7" i="13"/>
  <c r="O7" i="13"/>
  <c r="L12" i="13"/>
  <c r="Y12" i="13"/>
  <c r="Z12" i="13" s="1"/>
  <c r="V12" i="13" s="1"/>
  <c r="H13" i="13"/>
  <c r="R17" i="13"/>
  <c r="S17" i="13" s="1"/>
  <c r="V20" i="13"/>
  <c r="L24" i="13"/>
  <c r="AE24" i="13"/>
  <c r="AD27" i="13"/>
  <c r="AD32" i="13"/>
  <c r="H35" i="13"/>
  <c r="H36" i="13"/>
  <c r="R39" i="13"/>
  <c r="M40" i="13"/>
  <c r="L43" i="13"/>
  <c r="AE43" i="13"/>
  <c r="Y44" i="13"/>
  <c r="AG16" i="13"/>
  <c r="AJ16" i="13" s="1"/>
  <c r="O16" i="13"/>
  <c r="T16" i="13" s="1"/>
  <c r="M20" i="13"/>
  <c r="H31" i="13"/>
  <c r="M6" i="13"/>
  <c r="R7" i="13"/>
  <c r="S7" i="13" s="1"/>
  <c r="M12" i="13"/>
  <c r="R14" i="13"/>
  <c r="R15" i="13"/>
  <c r="S15" i="13" s="1"/>
  <c r="R18" i="13"/>
  <c r="S18" i="13" s="1"/>
  <c r="AA20" i="13"/>
  <c r="AG21" i="13"/>
  <c r="O21" i="13"/>
  <c r="T21" i="13" s="1"/>
  <c r="R23" i="13"/>
  <c r="M24" i="13"/>
  <c r="AE27" i="13"/>
  <c r="AE28" i="13"/>
  <c r="AE38" i="13"/>
  <c r="AD40" i="13"/>
  <c r="Y50" i="13"/>
  <c r="Z50" i="13" s="1"/>
  <c r="H6" i="13"/>
  <c r="AD12" i="13"/>
  <c r="AG40" i="13"/>
  <c r="AJ40" i="13" s="1"/>
  <c r="O40" i="13"/>
  <c r="R43" i="13"/>
  <c r="Y51" i="13"/>
  <c r="Z51" i="13" s="1"/>
  <c r="AA51" i="13" s="1"/>
  <c r="AA56" i="13"/>
  <c r="AH56" i="13" s="1"/>
  <c r="Y40" i="13"/>
  <c r="AD17" i="13"/>
  <c r="Y6" i="13"/>
  <c r="Z6" i="13" s="1"/>
  <c r="AD7" i="13"/>
  <c r="H12" i="13"/>
  <c r="AD15" i="13"/>
  <c r="R24" i="13"/>
  <c r="M34" i="13"/>
  <c r="L38" i="13"/>
  <c r="R40" i="13"/>
  <c r="L41" i="13"/>
  <c r="AE48" i="13"/>
  <c r="L50" i="13"/>
  <c r="N50" i="13" s="1"/>
  <c r="H50" i="13" s="1"/>
  <c r="W56" i="13"/>
  <c r="AL56" i="13" s="1"/>
  <c r="AA57" i="13"/>
  <c r="AI57" i="13" s="1"/>
  <c r="AE13" i="13"/>
  <c r="AD14" i="13"/>
  <c r="AE15" i="13"/>
  <c r="AG28" i="13"/>
  <c r="O28" i="13"/>
  <c r="T28" i="13" s="1"/>
  <c r="H33" i="13"/>
  <c r="M38" i="13"/>
  <c r="M41" i="13"/>
  <c r="AD41" i="13"/>
  <c r="H46" i="13"/>
  <c r="AD51" i="13"/>
  <c r="T56" i="13"/>
  <c r="W57" i="13"/>
  <c r="AN57" i="13" s="1"/>
  <c r="AG27" i="13"/>
  <c r="AJ27" i="13" s="1"/>
  <c r="O27" i="13"/>
  <c r="AA33" i="13"/>
  <c r="AM33" i="13" s="1"/>
  <c r="AE35" i="13"/>
  <c r="AE41" i="13"/>
  <c r="Y43" i="13"/>
  <c r="AD42" i="13"/>
  <c r="M45" i="13"/>
  <c r="R48" i="13"/>
  <c r="L51" i="13"/>
  <c r="N51" i="13" s="1"/>
  <c r="H51" i="13" s="1"/>
  <c r="AI25" i="13"/>
  <c r="AL48" i="13"/>
  <c r="AA42" i="13"/>
  <c r="AL43" i="13"/>
  <c r="AA21" i="13"/>
  <c r="AM21" i="13" s="1"/>
  <c r="AM48" i="13"/>
  <c r="AJ21" i="13"/>
  <c r="AH48" i="13"/>
  <c r="AI26" i="13"/>
  <c r="AM26" i="13"/>
  <c r="AL26" i="13"/>
  <c r="AH26" i="13"/>
  <c r="AI20" i="13"/>
  <c r="AM20" i="13"/>
  <c r="AM24" i="13"/>
  <c r="AI24" i="13"/>
  <c r="AM49" i="13"/>
  <c r="AH49" i="13"/>
  <c r="AI49" i="13"/>
  <c r="AL24" i="13"/>
  <c r="AA40" i="13"/>
  <c r="AH25" i="13"/>
  <c r="H34" i="13"/>
  <c r="AA39" i="13"/>
  <c r="AA55" i="13"/>
  <c r="AL55" i="13" s="1"/>
  <c r="AA59" i="13"/>
  <c r="AH59" i="13" s="1"/>
  <c r="H39" i="13"/>
  <c r="AH44" i="13"/>
  <c r="AA58" i="13"/>
  <c r="AI58" i="13" s="1"/>
  <c r="AA17" i="13"/>
  <c r="AA16" i="13"/>
  <c r="V16" i="13"/>
  <c r="AN25" i="13"/>
  <c r="AL25" i="13"/>
  <c r="R29" i="13"/>
  <c r="M29" i="13"/>
  <c r="Y29" i="13"/>
  <c r="Z29" i="13" s="1"/>
  <c r="L29" i="13"/>
  <c r="AD29" i="13"/>
  <c r="AE29" i="13"/>
  <c r="V13" i="13"/>
  <c r="AA13" i="13"/>
  <c r="AA19" i="13"/>
  <c r="H19" i="13"/>
  <c r="AH24" i="13"/>
  <c r="AI21" i="13"/>
  <c r="H18" i="13"/>
  <c r="AA27" i="13"/>
  <c r="V27" i="13"/>
  <c r="H30" i="13"/>
  <c r="AH23" i="13"/>
  <c r="AL9" i="13"/>
  <c r="AH21" i="13"/>
  <c r="H14" i="13"/>
  <c r="L16" i="13"/>
  <c r="AE16" i="13"/>
  <c r="R16" i="13"/>
  <c r="AD16" i="13"/>
  <c r="M16" i="13"/>
  <c r="AM9" i="13"/>
  <c r="AI9" i="13"/>
  <c r="AH9" i="13"/>
  <c r="M9" i="13"/>
  <c r="Y9" i="13"/>
  <c r="R9" i="13"/>
  <c r="AD9" i="13"/>
  <c r="AE9" i="13"/>
  <c r="V18" i="13"/>
  <c r="R11" i="13"/>
  <c r="AE11" i="13"/>
  <c r="M11" i="13"/>
  <c r="AD11" i="13"/>
  <c r="Y11" i="13"/>
  <c r="Z11" i="13" s="1"/>
  <c r="L11" i="13"/>
  <c r="H15" i="13"/>
  <c r="AA18" i="13"/>
  <c r="Y8" i="13"/>
  <c r="Z8" i="13" s="1"/>
  <c r="M8" i="13"/>
  <c r="H20" i="13"/>
  <c r="H29" i="13"/>
  <c r="R31" i="13"/>
  <c r="Y31" i="13"/>
  <c r="Z31" i="13" s="1"/>
  <c r="M31" i="13"/>
  <c r="M33" i="13"/>
  <c r="AN41" i="13"/>
  <c r="AL41" i="13"/>
  <c r="AN48" i="13"/>
  <c r="AL23" i="13"/>
  <c r="R6" i="13"/>
  <c r="S6" i="13" s="1"/>
  <c r="Y7" i="13"/>
  <c r="Z7" i="13" s="1"/>
  <c r="M7" i="13"/>
  <c r="L8" i="13"/>
  <c r="L10" i="13"/>
  <c r="N10" i="13" s="1"/>
  <c r="H10" i="13" s="1"/>
  <c r="Y10" i="13"/>
  <c r="Z10" i="13" s="1"/>
  <c r="R13" i="13"/>
  <c r="Y15" i="13"/>
  <c r="Z15" i="13" s="1"/>
  <c r="AE17" i="13"/>
  <c r="M21" i="13"/>
  <c r="AA22" i="13"/>
  <c r="AM23" i="13"/>
  <c r="AN24" i="13"/>
  <c r="AA30" i="13"/>
  <c r="L32" i="13"/>
  <c r="N32" i="13" s="1"/>
  <c r="H32" i="13" s="1"/>
  <c r="Y32" i="13"/>
  <c r="Z32" i="13" s="1"/>
  <c r="AE49" i="13"/>
  <c r="R49" i="13"/>
  <c r="AD49" i="13"/>
  <c r="M49" i="13"/>
  <c r="L49" i="13"/>
  <c r="Y49" i="13"/>
  <c r="Y14" i="13"/>
  <c r="Z14" i="13" s="1"/>
  <c r="M14" i="13"/>
  <c r="M15" i="13"/>
  <c r="M22" i="13"/>
  <c r="AE23" i="13"/>
  <c r="M23" i="13"/>
  <c r="AD25" i="13"/>
  <c r="Y25" i="13"/>
  <c r="R25" i="13"/>
  <c r="AD26" i="13"/>
  <c r="M26" i="13"/>
  <c r="AB30" i="13"/>
  <c r="L31" i="13"/>
  <c r="AN55" i="13"/>
  <c r="AH41" i="13"/>
  <c r="V42" i="13"/>
  <c r="M19" i="13"/>
  <c r="AB19" i="13"/>
  <c r="L23" i="13"/>
  <c r="L26" i="13"/>
  <c r="AE26" i="13"/>
  <c r="AD31" i="13"/>
  <c r="M10" i="13"/>
  <c r="R8" i="13"/>
  <c r="AD8" i="13"/>
  <c r="L14" i="13"/>
  <c r="L17" i="13"/>
  <c r="N17" i="13" s="1"/>
  <c r="H17" i="13" s="1"/>
  <c r="AD23" i="13"/>
  <c r="L25" i="13"/>
  <c r="AE25" i="13"/>
  <c r="L28" i="13"/>
  <c r="AD28" i="13"/>
  <c r="M28" i="13"/>
  <c r="Y28" i="13"/>
  <c r="Z28" i="13" s="1"/>
  <c r="AE31" i="13"/>
  <c r="V33" i="13"/>
  <c r="AD34" i="13"/>
  <c r="R34" i="13"/>
  <c r="L34" i="13"/>
  <c r="Y34" i="13"/>
  <c r="AM45" i="13"/>
  <c r="AI45" i="13"/>
  <c r="H47" i="13"/>
  <c r="L37" i="13"/>
  <c r="N37" i="13" s="1"/>
  <c r="H37" i="13" s="1"/>
  <c r="AD37" i="13"/>
  <c r="H38" i="13"/>
  <c r="AD38" i="13"/>
  <c r="AI44" i="13"/>
  <c r="AD52" i="13"/>
  <c r="R52" i="13"/>
  <c r="Y52" i="13"/>
  <c r="Z52" i="13" s="1"/>
  <c r="M52" i="13"/>
  <c r="V39" i="13"/>
  <c r="AM43" i="13"/>
  <c r="AI43" i="13"/>
  <c r="AH43" i="13"/>
  <c r="Y54" i="13"/>
  <c r="Z54" i="13" s="1"/>
  <c r="M54" i="13"/>
  <c r="L54" i="13"/>
  <c r="N54" i="13" s="1"/>
  <c r="H54" i="13" s="1"/>
  <c r="AE54" i="13"/>
  <c r="AD54" i="13"/>
  <c r="AM41" i="13"/>
  <c r="AL44" i="13"/>
  <c r="L52" i="13"/>
  <c r="N52" i="13" s="1"/>
  <c r="H52" i="13" s="1"/>
  <c r="L45" i="13"/>
  <c r="N45" i="13" s="1"/>
  <c r="V45" i="13" s="1"/>
  <c r="AE45" i="13"/>
  <c r="AD45" i="13"/>
  <c r="AF45" i="13" s="1"/>
  <c r="AG45" i="13" s="1"/>
  <c r="R45" i="13"/>
  <c r="S45" i="13" s="1"/>
  <c r="V47" i="13"/>
  <c r="AN49" i="13"/>
  <c r="AL49" i="13"/>
  <c r="AM56" i="13"/>
  <c r="AI56" i="13"/>
  <c r="AN59" i="13"/>
  <c r="AL59" i="13"/>
  <c r="R35" i="13"/>
  <c r="Y35" i="13"/>
  <c r="M35" i="13"/>
  <c r="Y38" i="13"/>
  <c r="Z38" i="13" s="1"/>
  <c r="AD44" i="13"/>
  <c r="M44" i="13"/>
  <c r="AA47" i="13"/>
  <c r="R53" i="13"/>
  <c r="Y53" i="13"/>
  <c r="Z53" i="13" s="1"/>
  <c r="M53" i="13"/>
  <c r="L53" i="13"/>
  <c r="N53" i="13" s="1"/>
  <c r="H53" i="13" s="1"/>
  <c r="AE53" i="13"/>
  <c r="R46" i="13"/>
  <c r="S46" i="13" s="1"/>
  <c r="AE42" i="13"/>
  <c r="AD46" i="13"/>
  <c r="AD47" i="13"/>
  <c r="R50" i="13"/>
  <c r="T57" i="13"/>
  <c r="AE46" i="13"/>
  <c r="AE47" i="13"/>
  <c r="AD50" i="13"/>
  <c r="R51" i="13"/>
  <c r="Y48" i="13"/>
  <c r="M42" i="13"/>
  <c r="W40" i="13" l="1"/>
  <c r="AN40" i="13" s="1"/>
  <c r="AG22" i="13"/>
  <c r="AJ22" i="13" s="1"/>
  <c r="AG42" i="13"/>
  <c r="AJ42" i="13" s="1"/>
  <c r="T7" i="13"/>
  <c r="T27" i="13"/>
  <c r="X72" i="13"/>
  <c r="W27" i="13"/>
  <c r="AA12" i="13"/>
  <c r="V46" i="13"/>
  <c r="V50" i="13"/>
  <c r="W16" i="13"/>
  <c r="AN56" i="13"/>
  <c r="AM58" i="13"/>
  <c r="W42" i="13"/>
  <c r="AM42" i="13" s="1"/>
  <c r="AH57" i="13"/>
  <c r="AH58" i="13"/>
  <c r="AL58" i="13"/>
  <c r="AM57" i="13"/>
  <c r="AJ11" i="13"/>
  <c r="AA6" i="13"/>
  <c r="V6" i="13"/>
  <c r="W21" i="13"/>
  <c r="AL21" i="13" s="1"/>
  <c r="O11" i="13"/>
  <c r="T11" i="13" s="1"/>
  <c r="AL57" i="13"/>
  <c r="AL40" i="13"/>
  <c r="AG54" i="13"/>
  <c r="AJ54" i="13" s="1"/>
  <c r="O54" i="13"/>
  <c r="T54" i="13" s="1"/>
  <c r="AG17" i="13"/>
  <c r="AJ17" i="13" s="1"/>
  <c r="O17" i="13"/>
  <c r="T17" i="13" s="1"/>
  <c r="AA50" i="13"/>
  <c r="T40" i="13"/>
  <c r="AG8" i="13"/>
  <c r="AJ8" i="13" s="1"/>
  <c r="O8" i="13"/>
  <c r="T8" i="13" s="1"/>
  <c r="AG38" i="13"/>
  <c r="AJ38" i="13" s="1"/>
  <c r="O38" i="13"/>
  <c r="T38" i="13" s="1"/>
  <c r="AI33" i="13"/>
  <c r="AG50" i="13"/>
  <c r="AJ50" i="13" s="1"/>
  <c r="O50" i="13"/>
  <c r="T50" i="13" s="1"/>
  <c r="AG18" i="13"/>
  <c r="AJ18" i="13" s="1"/>
  <c r="O18" i="13"/>
  <c r="T18" i="13" s="1"/>
  <c r="AG32" i="13"/>
  <c r="AJ32" i="13" s="1"/>
  <c r="O32" i="13"/>
  <c r="T32" i="13" s="1"/>
  <c r="AG29" i="13"/>
  <c r="AJ29" i="13" s="1"/>
  <c r="O29" i="13"/>
  <c r="T29" i="13" s="1"/>
  <c r="AG15" i="13"/>
  <c r="AJ15" i="13" s="1"/>
  <c r="O15" i="13"/>
  <c r="T15" i="13" s="1"/>
  <c r="AG19" i="13"/>
  <c r="AH19" i="13" s="1"/>
  <c r="O19" i="13"/>
  <c r="AG39" i="13"/>
  <c r="O39" i="13"/>
  <c r="T39" i="13" s="1"/>
  <c r="AG34" i="13"/>
  <c r="O34" i="13"/>
  <c r="AG33" i="13"/>
  <c r="O33" i="13"/>
  <c r="T33" i="13" s="1"/>
  <c r="W22" i="13"/>
  <c r="AN22" i="13" s="1"/>
  <c r="AG51" i="13"/>
  <c r="O51" i="13"/>
  <c r="T51" i="13" s="1"/>
  <c r="AG37" i="13"/>
  <c r="AJ37" i="13" s="1"/>
  <c r="O37" i="13"/>
  <c r="T37" i="13" s="1"/>
  <c r="AG20" i="13"/>
  <c r="AH20" i="13" s="1"/>
  <c r="O20" i="13"/>
  <c r="AG31" i="13"/>
  <c r="AJ31" i="13" s="1"/>
  <c r="O31" i="13"/>
  <c r="T31" i="13" s="1"/>
  <c r="AG52" i="13"/>
  <c r="AJ52" i="13" s="1"/>
  <c r="O52" i="13"/>
  <c r="T52" i="13" s="1"/>
  <c r="AG53" i="13"/>
  <c r="O53" i="13"/>
  <c r="T53" i="13" s="1"/>
  <c r="AH40" i="13"/>
  <c r="AI40" i="13"/>
  <c r="AG12" i="13"/>
  <c r="O12" i="13"/>
  <c r="T12" i="13" s="1"/>
  <c r="AG6" i="13"/>
  <c r="AJ6" i="13" s="1"/>
  <c r="O6" i="13"/>
  <c r="V51" i="13"/>
  <c r="W51" i="13" s="1"/>
  <c r="AM51" i="13" s="1"/>
  <c r="AG47" i="13"/>
  <c r="AJ47" i="13" s="1"/>
  <c r="O47" i="13"/>
  <c r="T47" i="13" s="1"/>
  <c r="AG14" i="13"/>
  <c r="AJ14" i="13" s="1"/>
  <c r="O14" i="13"/>
  <c r="T14" i="13" s="1"/>
  <c r="AG46" i="13"/>
  <c r="O46" i="13"/>
  <c r="T46" i="13" s="1"/>
  <c r="AG36" i="13"/>
  <c r="AI36" i="13" s="1"/>
  <c r="O36" i="13"/>
  <c r="AG13" i="13"/>
  <c r="AJ13" i="13" s="1"/>
  <c r="O13" i="13"/>
  <c r="T13" i="13" s="1"/>
  <c r="AG10" i="13"/>
  <c r="AJ10" i="13" s="1"/>
  <c r="O10" i="13"/>
  <c r="T10" i="13" s="1"/>
  <c r="AG30" i="13"/>
  <c r="AI30" i="13" s="1"/>
  <c r="O30" i="13"/>
  <c r="AG35" i="13"/>
  <c r="O35" i="13"/>
  <c r="AM59" i="13"/>
  <c r="AI59" i="13"/>
  <c r="AM55" i="13"/>
  <c r="AI55" i="13"/>
  <c r="AH55" i="13"/>
  <c r="AI39" i="13"/>
  <c r="AM39" i="13"/>
  <c r="AJ7" i="13"/>
  <c r="AM27" i="13"/>
  <c r="AI27" i="13"/>
  <c r="AN16" i="13"/>
  <c r="AL16" i="13"/>
  <c r="V17" i="13"/>
  <c r="AA53" i="13"/>
  <c r="V53" i="13"/>
  <c r="V54" i="13"/>
  <c r="W54" i="13" s="1"/>
  <c r="AA54" i="13"/>
  <c r="W45" i="13"/>
  <c r="T45" i="13"/>
  <c r="V14" i="13"/>
  <c r="AA14" i="13"/>
  <c r="V7" i="13"/>
  <c r="W7" i="13" s="1"/>
  <c r="AA7" i="13"/>
  <c r="AH7" i="13" s="1"/>
  <c r="AH45" i="13"/>
  <c r="AJ45" i="13"/>
  <c r="AJ53" i="13"/>
  <c r="AA15" i="13"/>
  <c r="V15" i="13"/>
  <c r="AI18" i="13"/>
  <c r="V38" i="13"/>
  <c r="AA38" i="13"/>
  <c r="AA52" i="13"/>
  <c r="V52" i="13"/>
  <c r="AN21" i="13"/>
  <c r="AI50" i="13"/>
  <c r="V29" i="13"/>
  <c r="AA29" i="13"/>
  <c r="AJ28" i="13"/>
  <c r="V28" i="13"/>
  <c r="W28" i="13" s="1"/>
  <c r="AA28" i="13"/>
  <c r="AM22" i="13"/>
  <c r="AI22" i="13"/>
  <c r="V31" i="13"/>
  <c r="AA31" i="13"/>
  <c r="AA8" i="13"/>
  <c r="V8" i="13"/>
  <c r="W8" i="13" s="1"/>
  <c r="AH27" i="13"/>
  <c r="V37" i="13"/>
  <c r="W37" i="13" s="1"/>
  <c r="AB61" i="13"/>
  <c r="E81" i="13" s="1"/>
  <c r="AG61" i="13"/>
  <c r="AA10" i="13"/>
  <c r="V10" i="13"/>
  <c r="AH50" i="13"/>
  <c r="AA11" i="13"/>
  <c r="V11" i="13"/>
  <c r="W11" i="13" s="1"/>
  <c r="AN27" i="13"/>
  <c r="AL27" i="13"/>
  <c r="AM16" i="13"/>
  <c r="AH16" i="13"/>
  <c r="AI16" i="13"/>
  <c r="AA32" i="13"/>
  <c r="V32" i="13"/>
  <c r="W32" i="13" s="1"/>
  <c r="AJ20" i="13" l="1"/>
  <c r="AM40" i="13"/>
  <c r="AH22" i="13"/>
  <c r="AI19" i="13"/>
  <c r="W15" i="13"/>
  <c r="AN15" i="13" s="1"/>
  <c r="AH42" i="13"/>
  <c r="AI42" i="13"/>
  <c r="AJ19" i="13"/>
  <c r="W12" i="13"/>
  <c r="W14" i="13"/>
  <c r="AN14" i="13" s="1"/>
  <c r="AH30" i="13"/>
  <c r="AL51" i="13"/>
  <c r="AN51" i="13"/>
  <c r="AI17" i="13"/>
  <c r="W10" i="13"/>
  <c r="AL42" i="13"/>
  <c r="AH54" i="13"/>
  <c r="W46" i="13"/>
  <c r="AN46" i="13" s="1"/>
  <c r="W29" i="13"/>
  <c r="AM29" i="13" s="1"/>
  <c r="AN42" i="13"/>
  <c r="AJ30" i="13"/>
  <c r="W53" i="13"/>
  <c r="AM53" i="13" s="1"/>
  <c r="AH6" i="13"/>
  <c r="AH13" i="13"/>
  <c r="AH47" i="13"/>
  <c r="AI47" i="13"/>
  <c r="AJ61" i="13"/>
  <c r="AI6" i="13"/>
  <c r="W6" i="13"/>
  <c r="AM6" i="13" s="1"/>
  <c r="T6" i="13"/>
  <c r="T19" i="13"/>
  <c r="W19" i="13"/>
  <c r="AH17" i="13"/>
  <c r="W52" i="13"/>
  <c r="AL52" i="13" s="1"/>
  <c r="AJ35" i="13"/>
  <c r="AH35" i="13"/>
  <c r="AI35" i="13"/>
  <c r="T36" i="13"/>
  <c r="W36" i="13"/>
  <c r="AM36" i="13" s="1"/>
  <c r="W20" i="13"/>
  <c r="T20" i="13"/>
  <c r="W39" i="13"/>
  <c r="AN12" i="13"/>
  <c r="AM12" i="13"/>
  <c r="AJ51" i="13"/>
  <c r="AI51" i="13"/>
  <c r="AI13" i="13"/>
  <c r="T30" i="13"/>
  <c r="W30" i="13"/>
  <c r="AH36" i="13"/>
  <c r="AJ36" i="13"/>
  <c r="AH33" i="13"/>
  <c r="AJ33" i="13"/>
  <c r="W18" i="13"/>
  <c r="W50" i="13"/>
  <c r="T35" i="13"/>
  <c r="W35" i="13"/>
  <c r="AJ12" i="13"/>
  <c r="AH12" i="13"/>
  <c r="AI12" i="13"/>
  <c r="T34" i="13"/>
  <c r="W34" i="13"/>
  <c r="AH18" i="13"/>
  <c r="W31" i="13"/>
  <c r="AM31" i="13" s="1"/>
  <c r="W38" i="13"/>
  <c r="AM38" i="13" s="1"/>
  <c r="AI37" i="13"/>
  <c r="AH37" i="13"/>
  <c r="AH46" i="13"/>
  <c r="AJ46" i="13"/>
  <c r="AI46" i="13"/>
  <c r="W47" i="13"/>
  <c r="AJ34" i="13"/>
  <c r="AI34" i="13"/>
  <c r="AH34" i="13"/>
  <c r="AH51" i="13"/>
  <c r="AL22" i="13"/>
  <c r="AL12" i="13"/>
  <c r="W17" i="13"/>
  <c r="AM17" i="13" s="1"/>
  <c r="W33" i="13"/>
  <c r="W13" i="13"/>
  <c r="AJ39" i="13"/>
  <c r="AH39" i="13"/>
  <c r="AA61" i="13"/>
  <c r="AA72" i="13" s="1"/>
  <c r="AI29" i="13"/>
  <c r="AH29" i="13"/>
  <c r="T61" i="13"/>
  <c r="AM15" i="13"/>
  <c r="AI15" i="13"/>
  <c r="AH15" i="13"/>
  <c r="AL37" i="13"/>
  <c r="AN37" i="13"/>
  <c r="AM46" i="13"/>
  <c r="AN10" i="13"/>
  <c r="AL10" i="13"/>
  <c r="AN53" i="13"/>
  <c r="AI7" i="13"/>
  <c r="AM7" i="13"/>
  <c r="AI52" i="13"/>
  <c r="AH52" i="13"/>
  <c r="AI53" i="13"/>
  <c r="AH53" i="13"/>
  <c r="AI38" i="13"/>
  <c r="AH38" i="13"/>
  <c r="AL11" i="13"/>
  <c r="AN11" i="13"/>
  <c r="AN8" i="13"/>
  <c r="AL8" i="13"/>
  <c r="AM28" i="13"/>
  <c r="AI28" i="13"/>
  <c r="AH28" i="13"/>
  <c r="AI11" i="13"/>
  <c r="AM11" i="13"/>
  <c r="AH11" i="13"/>
  <c r="AI8" i="13"/>
  <c r="AM8" i="13"/>
  <c r="AH8" i="13"/>
  <c r="AL28" i="13"/>
  <c r="AN28" i="13"/>
  <c r="AM37" i="13"/>
  <c r="AN45" i="13"/>
  <c r="AL45" i="13"/>
  <c r="AN32" i="13"/>
  <c r="AL32" i="13"/>
  <c r="AI31" i="13"/>
  <c r="AH31" i="13"/>
  <c r="AI54" i="13"/>
  <c r="AM54" i="13"/>
  <c r="AL31" i="13"/>
  <c r="AN31" i="13"/>
  <c r="AN54" i="13"/>
  <c r="AL54" i="13"/>
  <c r="AM10" i="13"/>
  <c r="AI10" i="13"/>
  <c r="AH10" i="13"/>
  <c r="AM32" i="13"/>
  <c r="AI32" i="13"/>
  <c r="AH32" i="13"/>
  <c r="AL7" i="13"/>
  <c r="AN7" i="13"/>
  <c r="AI14" i="13"/>
  <c r="AH14" i="13"/>
  <c r="AM52" i="13" l="1"/>
  <c r="AL46" i="13"/>
  <c r="AL14" i="13"/>
  <c r="AL15" i="13"/>
  <c r="AM14" i="13"/>
  <c r="AL6" i="13"/>
  <c r="AN52" i="13"/>
  <c r="AL53" i="13"/>
  <c r="AL17" i="13"/>
  <c r="AN29" i="13"/>
  <c r="AN17" i="13"/>
  <c r="AL29" i="13"/>
  <c r="AN6" i="13"/>
  <c r="AN38" i="13"/>
  <c r="AL38" i="13"/>
  <c r="AN39" i="13"/>
  <c r="AL39" i="13"/>
  <c r="AM35" i="13"/>
  <c r="AL35" i="13"/>
  <c r="AN35" i="13"/>
  <c r="AL30" i="13"/>
  <c r="AN30" i="13"/>
  <c r="AM30" i="13"/>
  <c r="AL13" i="13"/>
  <c r="AN13" i="13"/>
  <c r="AM13" i="13"/>
  <c r="AN33" i="13"/>
  <c r="AL33" i="13"/>
  <c r="AN47" i="13"/>
  <c r="AL47" i="13"/>
  <c r="AM47" i="13"/>
  <c r="AM50" i="13"/>
  <c r="AN50" i="13"/>
  <c r="AL50" i="13"/>
  <c r="AN20" i="13"/>
  <c r="AL20" i="13"/>
  <c r="AN19" i="13"/>
  <c r="AL19" i="13"/>
  <c r="AM19" i="13"/>
  <c r="AL34" i="13"/>
  <c r="AM34" i="13"/>
  <c r="AN34" i="13"/>
  <c r="AM18" i="13"/>
  <c r="AL18" i="13"/>
  <c r="AN18" i="13"/>
  <c r="AL36" i="13"/>
  <c r="AN36" i="13"/>
  <c r="W61" i="13"/>
  <c r="AN61" i="13" s="1"/>
  <c r="T72" i="13"/>
  <c r="AG72" i="13"/>
  <c r="AH61" i="13"/>
  <c r="AI61" i="13"/>
  <c r="AM61" i="13" l="1"/>
  <c r="AJ72" i="13"/>
  <c r="AI72" i="13"/>
  <c r="AH72" i="13"/>
  <c r="AL61" i="13"/>
  <c r="W72" i="13"/>
  <c r="AN72" i="13" s="1"/>
  <c r="AM72" i="13" l="1"/>
  <c r="AL72" i="13"/>
  <c r="T74" i="13"/>
  <c r="X53" i="9" l="1"/>
  <c r="Y53" i="9"/>
  <c r="F45" i="10" l="1"/>
  <c r="B53" i="9" l="1"/>
  <c r="C53" i="9"/>
  <c r="B5" i="9" l="1"/>
  <c r="C5" i="9"/>
  <c r="B6" i="9"/>
  <c r="C6" i="9"/>
  <c r="B7" i="9"/>
  <c r="C7" i="9"/>
  <c r="B8" i="9"/>
  <c r="C8" i="9"/>
  <c r="B9" i="9"/>
  <c r="C9" i="9"/>
  <c r="B10" i="9"/>
  <c r="C10" i="9"/>
  <c r="B11" i="9"/>
  <c r="C11" i="9"/>
  <c r="B12" i="9"/>
  <c r="C12" i="9"/>
  <c r="B13" i="9"/>
  <c r="C13" i="9"/>
  <c r="B14" i="9"/>
  <c r="C14" i="9"/>
  <c r="B15" i="9"/>
  <c r="C15" i="9"/>
  <c r="B16" i="9"/>
  <c r="C16" i="9"/>
  <c r="B17" i="9"/>
  <c r="C17" i="9"/>
  <c r="B18" i="9"/>
  <c r="C18" i="9"/>
  <c r="B19" i="9"/>
  <c r="C19" i="9"/>
  <c r="B20" i="9"/>
  <c r="C20" i="9"/>
  <c r="B21" i="9"/>
  <c r="C21" i="9"/>
  <c r="B22" i="9"/>
  <c r="C22" i="9"/>
  <c r="B23" i="9"/>
  <c r="C23" i="9"/>
  <c r="B24" i="9"/>
  <c r="C24" i="9"/>
  <c r="B25" i="9"/>
  <c r="C25" i="9"/>
  <c r="B26" i="9"/>
  <c r="C26" i="9"/>
  <c r="B27" i="9"/>
  <c r="C27" i="9"/>
  <c r="B28" i="9"/>
  <c r="C28" i="9"/>
  <c r="B29" i="9"/>
  <c r="C29" i="9"/>
  <c r="B30" i="9"/>
  <c r="C30" i="9"/>
  <c r="B31" i="9"/>
  <c r="C31" i="9"/>
  <c r="B32" i="9"/>
  <c r="C32" i="9"/>
  <c r="B33" i="9"/>
  <c r="C33" i="9"/>
  <c r="B34" i="9"/>
  <c r="C34" i="9"/>
  <c r="B35" i="9"/>
  <c r="C35" i="9"/>
  <c r="B36" i="9"/>
  <c r="C36" i="9"/>
  <c r="B37" i="9"/>
  <c r="C37" i="9"/>
  <c r="B38" i="9"/>
  <c r="C38" i="9"/>
  <c r="B39" i="9"/>
  <c r="C39" i="9"/>
  <c r="B40" i="9"/>
  <c r="C40" i="9"/>
  <c r="B41" i="9"/>
  <c r="C41" i="9"/>
  <c r="B42" i="9"/>
  <c r="C42" i="9"/>
  <c r="B43" i="9"/>
  <c r="C43" i="9"/>
  <c r="B44" i="9"/>
  <c r="C44" i="9"/>
  <c r="B45" i="9"/>
  <c r="C45" i="9"/>
  <c r="B46" i="9"/>
  <c r="C46" i="9"/>
  <c r="B47" i="9"/>
  <c r="C47" i="9"/>
  <c r="B48" i="9"/>
  <c r="C48" i="9"/>
  <c r="B49" i="9"/>
  <c r="C49" i="9"/>
  <c r="B50" i="9"/>
  <c r="C50" i="9"/>
  <c r="B51" i="9"/>
  <c r="C51" i="9"/>
  <c r="B52" i="9"/>
  <c r="C52" i="9"/>
  <c r="C4" i="9"/>
  <c r="B4" i="9"/>
  <c r="H11" i="8"/>
  <c r="H12" i="8"/>
  <c r="H13" i="8"/>
  <c r="H14" i="8"/>
  <c r="H15" i="8"/>
  <c r="H16" i="8"/>
  <c r="H17" i="8"/>
  <c r="H18" i="8"/>
  <c r="H19" i="8"/>
  <c r="H20" i="8"/>
  <c r="H21" i="8"/>
  <c r="H22" i="8"/>
  <c r="H23" i="8"/>
  <c r="H24" i="8"/>
  <c r="H25" i="8"/>
  <c r="H26" i="8"/>
  <c r="H27" i="8"/>
  <c r="H28" i="8"/>
  <c r="H29" i="8"/>
  <c r="H30" i="8"/>
  <c r="H31" i="8"/>
  <c r="H32" i="8"/>
  <c r="H33" i="8"/>
  <c r="H34" i="8"/>
  <c r="H35" i="8"/>
  <c r="H36" i="8"/>
  <c r="H37" i="8"/>
  <c r="H38" i="8"/>
  <c r="H39" i="8"/>
  <c r="H40" i="8"/>
  <c r="H41" i="8"/>
  <c r="H42" i="8"/>
  <c r="H43" i="8"/>
  <c r="H44" i="8"/>
  <c r="H45" i="8"/>
  <c r="H46" i="8"/>
  <c r="H47" i="8"/>
  <c r="H48" i="8"/>
  <c r="H49" i="8"/>
  <c r="H50" i="8"/>
  <c r="H51" i="8"/>
  <c r="H52" i="8"/>
  <c r="H53" i="8"/>
  <c r="H54" i="8"/>
  <c r="H10" i="8"/>
  <c r="A40" i="8"/>
  <c r="A41" i="8" s="1"/>
  <c r="A42" i="8" s="1"/>
  <c r="A43" i="8" s="1"/>
  <c r="A44" i="8" s="1"/>
  <c r="A45" i="8" s="1"/>
  <c r="A46" i="8" s="1"/>
  <c r="A47" i="8" s="1"/>
  <c r="A48" i="8" s="1"/>
  <c r="A49" i="8" s="1"/>
  <c r="A50" i="8" s="1"/>
  <c r="A51" i="8" s="1"/>
  <c r="A52" i="8" s="1"/>
  <c r="A53" i="8" s="1"/>
  <c r="A54" i="8" s="1"/>
  <c r="F12" i="8"/>
  <c r="F13" i="8"/>
  <c r="F14" i="8" s="1"/>
  <c r="F15" i="8" s="1"/>
  <c r="F16" i="8" s="1"/>
  <c r="F17" i="8" s="1"/>
  <c r="F18" i="8" s="1"/>
  <c r="F19" i="8" s="1"/>
  <c r="F20" i="8" s="1"/>
  <c r="F21" i="8" s="1"/>
  <c r="F22" i="8" s="1"/>
  <c r="F23" i="8" s="1"/>
  <c r="F24" i="8" s="1"/>
  <c r="F25" i="8" s="1"/>
  <c r="F26" i="8" s="1"/>
  <c r="F27" i="8" s="1"/>
  <c r="F28" i="8" s="1"/>
  <c r="F29" i="8" s="1"/>
  <c r="F30" i="8" s="1"/>
  <c r="F31" i="8" s="1"/>
  <c r="F32" i="8" s="1"/>
  <c r="F33" i="8" s="1"/>
  <c r="F34" i="8" s="1"/>
  <c r="F35" i="8" s="1"/>
  <c r="F36" i="8" s="1"/>
  <c r="F37" i="8" s="1"/>
  <c r="F38" i="8" s="1"/>
  <c r="F39" i="8" s="1"/>
  <c r="F40" i="8" s="1"/>
  <c r="F41" i="8" s="1"/>
  <c r="F42" i="8" s="1"/>
  <c r="F43" i="8" s="1"/>
  <c r="F44" i="8" s="1"/>
  <c r="F45" i="8" s="1"/>
  <c r="F46" i="8" s="1"/>
  <c r="F47" i="8" s="1"/>
  <c r="F48" i="8" s="1"/>
  <c r="F49" i="8" s="1"/>
  <c r="F50" i="8" s="1"/>
  <c r="F51" i="8" s="1"/>
  <c r="F52" i="8" s="1"/>
  <c r="F53" i="8" s="1"/>
  <c r="F54" i="8" s="1"/>
  <c r="F11" i="8"/>
  <c r="F10" i="8"/>
  <c r="A11" i="8" l="1"/>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H45" i="10" l="1"/>
  <c r="J45" i="10" l="1"/>
</calcChain>
</file>

<file path=xl/sharedStrings.xml><?xml version="1.0" encoding="utf-8"?>
<sst xmlns="http://schemas.openxmlformats.org/spreadsheetml/2006/main" count="2092" uniqueCount="470">
  <si>
    <t>BENEFIT</t>
  </si>
  <si>
    <t>TOTAL PROGRAM</t>
  </si>
  <si>
    <t>CASCADE NATURAL GAS CORPORATION</t>
  </si>
  <si>
    <t>MEASURE</t>
  </si>
  <si>
    <t>THERM</t>
  </si>
  <si>
    <t>RESOURCE</t>
  </si>
  <si>
    <t>LIFE</t>
  </si>
  <si>
    <t>Nominal interest rate (post tax cost of cap.)</t>
  </si>
  <si>
    <t>Inflation rate</t>
  </si>
  <si>
    <t>Long term real discount rate</t>
  </si>
  <si>
    <t>Radiant Heating</t>
  </si>
  <si>
    <t>Clothes Washer</t>
  </si>
  <si>
    <t>DESCRIPTION</t>
  </si>
  <si>
    <t>Condensing Tank</t>
  </si>
  <si>
    <t>Boiler Vent Damper</t>
  </si>
  <si>
    <t>Energy Star</t>
  </si>
  <si>
    <t>Commercial Gas Washer</t>
  </si>
  <si>
    <t>EFFICIENCY TYPE FOR QUALIFICATION</t>
  </si>
  <si>
    <t>Minimum 86% AFUE</t>
  </si>
  <si>
    <t>Minimum 92% AFUE</t>
  </si>
  <si>
    <t>None</t>
  </si>
  <si>
    <t>Minimum 91% AFUE or 91% Thermal Efficiency</t>
  </si>
  <si>
    <t>1.8 MEF</t>
  </si>
  <si>
    <t>UNITS</t>
  </si>
  <si>
    <t>45 YEAR RESOURCE SUMMARY COSTS - MELDED COST PER THERM</t>
  </si>
  <si>
    <t>IRP ANNUAL</t>
  </si>
  <si>
    <t xml:space="preserve">PV OF </t>
  </si>
  <si>
    <t>PORTFOLIO COSTS</t>
  </si>
  <si>
    <t>PORTFOLIO</t>
  </si>
  <si>
    <t>NOMINAL</t>
  </si>
  <si>
    <t>COST-</t>
  </si>
  <si>
    <t>COST PER</t>
  </si>
  <si>
    <t>COST - %</t>
  </si>
  <si>
    <t>CONSERVATION</t>
  </si>
  <si>
    <t>EFFECTIVENESS</t>
  </si>
  <si>
    <t>YEAR</t>
  </si>
  <si>
    <t>THERM (PV)*</t>
  </si>
  <si>
    <t>CHANGE</t>
  </si>
  <si>
    <t>COST/THERM</t>
  </si>
  <si>
    <t>CREDIT</t>
  </si>
  <si>
    <t>LIMIT</t>
  </si>
  <si>
    <t>Cascade's Long Term Real Discount Rate:</t>
  </si>
  <si>
    <t>IRP Discount Rate =</t>
  </si>
  <si>
    <t>Revised Discount Rate=</t>
  </si>
  <si>
    <t>Years 21-45 Escalation =</t>
  </si>
  <si>
    <t>(EIA Inflation Rate)</t>
  </si>
  <si>
    <t xml:space="preserve">COMMERCIAL Program Participant Cost Effectiveness </t>
  </si>
  <si>
    <t>/unit</t>
  </si>
  <si>
    <t>Double Rack Oven</t>
  </si>
  <si>
    <t xml:space="preserve">NON </t>
  </si>
  <si>
    <t xml:space="preserve">ENERGY </t>
  </si>
  <si>
    <t>PORTFOLIO COST APPENDIX 1 TABLE H</t>
  </si>
  <si>
    <t xml:space="preserve">WITH </t>
  </si>
  <si>
    <t>Boiler</t>
  </si>
  <si>
    <t>Custom Measures</t>
  </si>
  <si>
    <t>&lt;= 1.8 gpm, Watersense Certified</t>
  </si>
  <si>
    <t>Custom Admin.</t>
  </si>
  <si>
    <t>Prescriptive Admin.</t>
  </si>
  <si>
    <t>Attic Insulation</t>
  </si>
  <si>
    <t>Demand Control Ventilation</t>
  </si>
  <si>
    <t>Gas Conveyor Oven</t>
  </si>
  <si>
    <t>Meet JUARC Guidelines for DCV RTUs in 5-20 ton</t>
  </si>
  <si>
    <t>2018 INTEGRATED RESOURCE PLAN</t>
  </si>
  <si>
    <t>Bonus - Insulation Bundle A</t>
  </si>
  <si>
    <t>Insulation Bundle A</t>
  </si>
  <si>
    <t>Two Insulation Measures, min. 1000 sq. ft.+</t>
  </si>
  <si>
    <t>Bonus - Kitchen Bundle C (3 or more measures)</t>
  </si>
  <si>
    <t>Foodservice Bundle C</t>
  </si>
  <si>
    <t>Any 3 Kitchen equipment measures</t>
  </si>
  <si>
    <t>Bonus - Kitchen Bundle B (2 - measures)</t>
  </si>
  <si>
    <t>Foodservice Bundle B</t>
  </si>
  <si>
    <t>Any 2 Kitchen equipment measures</t>
  </si>
  <si>
    <t>Energy Saver Kit A</t>
  </si>
  <si>
    <t>Low Flow Kitchen Pre Rinse Spray Valve and Bath Aerators</t>
  </si>
  <si>
    <t>PRSV &lt;=1 gpm / Aerators &lt;=.75 gpm</t>
  </si>
  <si>
    <t>/kit</t>
  </si>
  <si>
    <t>Motion Faucet Controls</t>
  </si>
  <si>
    <t>Motion Controlled Faucet</t>
  </si>
  <si>
    <t>/faucet</t>
  </si>
  <si>
    <t>Energy Saver Kit B</t>
  </si>
  <si>
    <t>Low Flow Showerheads</t>
  </si>
  <si>
    <t>Showerhead &lt;= 1.85 gpm</t>
  </si>
  <si>
    <t>DCV</t>
  </si>
  <si>
    <t>/ton</t>
  </si>
  <si>
    <t>Convection Oven (Restaurant)</t>
  </si>
  <si>
    <t>&gt;= 44% Cooking Efficiency,&lt;= 13,000 Btu/hr Idle Rate</t>
  </si>
  <si>
    <t>/oven</t>
  </si>
  <si>
    <t>Low Temp Door Dishwasher</t>
  </si>
  <si>
    <t>&lt;=.6kW Idle Rate, &lt;= 1.18 gal/rack</t>
  </si>
  <si>
    <t>FSTC Qualified</t>
  </si>
  <si>
    <t>&gt;=50% Cooking Efficiency, &lt;=35,000 Btu/hr Idle Rate</t>
  </si>
  <si>
    <t>Steamer - 6 Pan</t>
  </si>
  <si>
    <t>Connectionless Estar or CEE Qualified</t>
  </si>
  <si>
    <t>&gt;=38% Cooking Efficiency,&lt;= 2083  Btu/hr /pan Idle Rate</t>
  </si>
  <si>
    <t>Griddle (Restaurant)</t>
  </si>
  <si>
    <t>&gt;=38% Cooking Efficiency,&lt;= 2650 Btu/hr-sq ft Idle Rate</t>
  </si>
  <si>
    <t>/griddle</t>
  </si>
  <si>
    <t>Fryer (Restaurant)</t>
  </si>
  <si>
    <t>&gt;=50% Cooking Efficiency</t>
  </si>
  <si>
    <t>/fryer</t>
  </si>
  <si>
    <t>Steamer - 3 Pan</t>
  </si>
  <si>
    <t>Domestic Hot Water Tanks - Condensing</t>
  </si>
  <si>
    <t>/kBtu/hr in</t>
  </si>
  <si>
    <t>FSTC Qualified Gas Fired Conveyor Oven</t>
  </si>
  <si>
    <t>&gt;=42% Baking Efficiency</t>
  </si>
  <si>
    <t>Tankless Water Heater</t>
  </si>
  <si>
    <t>/gpm</t>
  </si>
  <si>
    <t>Warm-Air Furnace</t>
  </si>
  <si>
    <t>High-Efficiency Condensing Furnace</t>
  </si>
  <si>
    <t>Minimum  91% AFUE</t>
  </si>
  <si>
    <t>Direct-fired Radiant Heating</t>
  </si>
  <si>
    <t>Minimum .87 Energy Factor</t>
  </si>
  <si>
    <t>Minimum 90% Thermal Efficiency and 300 kBtu/hr input</t>
  </si>
  <si>
    <t>Tankless Water Heater - Tier 2</t>
  </si>
  <si>
    <t>Minimum .93 Energy Factor</t>
  </si>
  <si>
    <t>High-Efficiency-Condensing Boiler</t>
  </si>
  <si>
    <t>Insulation - Attic - Tier 1 - Min R-30</t>
  </si>
  <si>
    <t>Tier 1 /  Minimum R-30</t>
  </si>
  <si>
    <t>/sq.ft.</t>
  </si>
  <si>
    <t>Insulation - Wall - Tier 1 - Min R-11</t>
  </si>
  <si>
    <t>Wall Insulation</t>
  </si>
  <si>
    <t>Tier 1 / Minimum R-11</t>
  </si>
  <si>
    <t>Insulation - Roof - Tier 2 - Min R-30</t>
  </si>
  <si>
    <t>Roof Insulation</t>
  </si>
  <si>
    <t>Tier 2 /  Minimum R-30</t>
  </si>
  <si>
    <t>Insulation - Wall - Tier 2 - Min R-19</t>
  </si>
  <si>
    <t>Tier 2 /  Minimum R-19</t>
  </si>
  <si>
    <t>/sq. ft.</t>
  </si>
  <si>
    <t>Insulation - Roof - Tier 1 - Min R-21</t>
  </si>
  <si>
    <t>Tier 1 /  Minimum R-21</t>
  </si>
  <si>
    <t>Insulation - Attic - Tier 2 - Min R-45</t>
  </si>
  <si>
    <t>Tier 2 /  Minimum R-45</t>
  </si>
  <si>
    <t>Windows</t>
  </si>
  <si>
    <t>Boiler Steam Trap</t>
  </si>
  <si>
    <t>Convection Oven (Grocery)</t>
  </si>
  <si>
    <t>Convection Oven (Lodging)</t>
  </si>
  <si>
    <t>Convection Oven (School)</t>
  </si>
  <si>
    <t>DHW Recirculation Controls</t>
  </si>
  <si>
    <t>Fryer (Grocery)</t>
  </si>
  <si>
    <t>Fryer (Lodging)</t>
  </si>
  <si>
    <t>Fryer (School)</t>
  </si>
  <si>
    <t>Griddle (Grocery)</t>
  </si>
  <si>
    <t>Griddle (Lodging)</t>
  </si>
  <si>
    <t>Griddle (School)</t>
  </si>
  <si>
    <t>HVAC Unit Heater - Condensing</t>
  </si>
  <si>
    <t>HVAC Unit Heater - Non-Condensing</t>
  </si>
  <si>
    <t>Insulation - Pipe - 1.5"</t>
  </si>
  <si>
    <t>Insulation - Pipe - 2.5"</t>
  </si>
  <si>
    <t>Low Temp Multi Tank Dishwasher</t>
  </si>
  <si>
    <t>Ozone Injection Laundry</t>
  </si>
  <si>
    <t>Steam Trap fitted to Steam Boiler</t>
  </si>
  <si>
    <t>Minimum 300 kBtu input and steam pressures at 7psig or greater</t>
  </si>
  <si>
    <t>Minimum 1,000 kBtu/hr input</t>
  </si>
  <si>
    <t>Schedule Control for Continuous Operation DHW Recirculation Pump</t>
  </si>
  <si>
    <t>Add time clock or other schedule control for continuous operation DHW recirculation pump</t>
  </si>
  <si>
    <t>High Efficiency Condensing</t>
  </si>
  <si>
    <t>High-Efficiency-Non-Condensing Unit Heater with Electronic Ignition</t>
  </si>
  <si>
    <t>Floor Insulation</t>
  </si>
  <si>
    <t>Equal to or greater than R-30 Post and equal to or less than R-11 Pre</t>
  </si>
  <si>
    <t xml:space="preserve">1.5" Thick Pipe Insulation </t>
  </si>
  <si>
    <t>Retrofit for T&gt;140F&lt;=200F</t>
  </si>
  <si>
    <t>2.5" Thick Pipe Insulation</t>
  </si>
  <si>
    <t>Retrofit for T&gt;200F</t>
  </si>
  <si>
    <t>&lt;=2kW Idle Rate, &lt;=.50 gal/rack</t>
  </si>
  <si>
    <t>Venturi Injection or Bubble Diffusion Ozone Injection Laundry</t>
  </si>
  <si>
    <t>Minimum 125 lb Total Washer/Extractor Capacity  and Pre Approved by CNG</t>
  </si>
  <si>
    <t>/controller</t>
  </si>
  <si>
    <t>/LF</t>
  </si>
  <si>
    <t>/system</t>
  </si>
  <si>
    <t>Energy Saver Kit A - 30 therms</t>
  </si>
  <si>
    <t>Energy Saver Kit A - 59 therms</t>
  </si>
  <si>
    <t>Insulation - Floor</t>
  </si>
  <si>
    <t>Custom Other - Laundrey Ozone Injection System</t>
  </si>
  <si>
    <t>Custom Other - Combi Ovens</t>
  </si>
  <si>
    <t>Custom DDC Controls - Custom DDC Controls</t>
  </si>
  <si>
    <t>Custom Heat Recovery - AHU Heat Recovery</t>
  </si>
  <si>
    <t>Custom Hood System M/U Air Reduction - CaptiveAire Hood MUA DCV Control</t>
  </si>
  <si>
    <t>Custom Other - ERV Units</t>
  </si>
  <si>
    <t>Custom Other - Custom Air Handling Units</t>
  </si>
  <si>
    <t>Custom DDC Controls - HVAC Control Optimization</t>
  </si>
  <si>
    <t>Custom Other - DOAS units</t>
  </si>
  <si>
    <t>Custom Insulation - Crawl Space Insulation</t>
  </si>
  <si>
    <t>007897-C-LODGING FACILITY</t>
  </si>
  <si>
    <t>007857-C-SCHOOL DISTRICT ZONE 1</t>
  </si>
  <si>
    <t>008286-C-SCHOOL DISTRICT ZONE 2</t>
  </si>
  <si>
    <t>008011-C-ELEMENTARY SCHOOL</t>
  </si>
  <si>
    <t>008001-C-SCHOOL DISTRICT</t>
  </si>
  <si>
    <t>008304-C-MIDDLE SCHOOL</t>
  </si>
  <si>
    <t>008339-C-SCHOOL DIST 2</t>
  </si>
  <si>
    <t>007926-C-PUBLISHER</t>
  </si>
  <si>
    <t>non-energy</t>
  </si>
  <si>
    <t>Cascade Plan - Measure Mapping</t>
  </si>
  <si>
    <t>LoadMap - Measure Mapping</t>
  </si>
  <si>
    <t>Cascade Plan - Value Comparison</t>
  </si>
  <si>
    <t>LoadMap - Value Comparison</t>
  </si>
  <si>
    <t>Plan Key</t>
  </si>
  <si>
    <t>LoadMap Key</t>
  </si>
  <si>
    <t>Item</t>
  </si>
  <si>
    <t>Sector</t>
  </si>
  <si>
    <t>Description</t>
  </si>
  <si>
    <t>EFFICIENCY  RATING</t>
  </si>
  <si>
    <t>LoadMap Measure Name</t>
  </si>
  <si>
    <t>Segment</t>
  </si>
  <si>
    <t>Vintage</t>
  </si>
  <si>
    <t>Baseline</t>
  </si>
  <si>
    <t>Efficient Definition</t>
  </si>
  <si>
    <t>Therm Savings (per unit)</t>
  </si>
  <si>
    <t>Unit of Measure</t>
  </si>
  <si>
    <t>Incremental Cost</t>
  </si>
  <si>
    <t>Measure Lifetime</t>
  </si>
  <si>
    <t>Measure Incentive</t>
  </si>
  <si>
    <t>UES (Annual therms)</t>
  </si>
  <si>
    <t>Unit Adjusted UES</t>
  </si>
  <si>
    <t>Unit Incremental Cost (2019$)</t>
  </si>
  <si>
    <t>Measure Life</t>
  </si>
  <si>
    <t>Commercial</t>
  </si>
  <si>
    <t>All</t>
  </si>
  <si>
    <t>Existing</t>
  </si>
  <si>
    <t>AFUE 80% (Standard)</t>
  </si>
  <si>
    <t>AFUE 97%</t>
  </si>
  <si>
    <t>Mid Efficiency Non-Condensing</t>
  </si>
  <si>
    <t>Minimum 85% Thermal Efficiency and ??? kBtu input</t>
  </si>
  <si>
    <t>AFUE 85%</t>
  </si>
  <si>
    <t>Need from Cascade</t>
  </si>
  <si>
    <t>Steam Trap Maintenance</t>
  </si>
  <si>
    <t>Degrade performance</t>
  </si>
  <si>
    <t>Cleaning and maintenance</t>
  </si>
  <si>
    <t>HVAC - Shut Off Damper</t>
  </si>
  <si>
    <t>No damper</t>
  </si>
  <si>
    <t>Damper installed</t>
  </si>
  <si>
    <t>Commercial Clothes Washers - ENERGY STAR</t>
  </si>
  <si>
    <t>Standard laundry machine</t>
  </si>
  <si>
    <t>ESTAR/High MEF unit installed</t>
  </si>
  <si>
    <t>Oven</t>
  </si>
  <si>
    <t>Grocery</t>
  </si>
  <si>
    <t>Standard</t>
  </si>
  <si>
    <t>ENERGY STAR (&gt;44% Baking Efficiency)</t>
  </si>
  <si>
    <t>Lodging</t>
  </si>
  <si>
    <t>Restaurant</t>
  </si>
  <si>
    <t>Education</t>
  </si>
  <si>
    <t>HVAC - Demand Controlled Ventilation</t>
  </si>
  <si>
    <t>Constant ventilation</t>
  </si>
  <si>
    <t>DCV enabled</t>
  </si>
  <si>
    <t>Water Heater - Central Controls</t>
  </si>
  <si>
    <t>No central controls</t>
  </si>
  <si>
    <t>Central water boiler controls installed</t>
  </si>
  <si>
    <t>FTSC Qualified (&gt;50% Cooking Efficiency)</t>
  </si>
  <si>
    <t>Water Heater - Pre-Rinse Spray Valve &amp; Water Heater - Faucet Aerator</t>
  </si>
  <si>
    <t>3.5 GPM kitchen sprayer &amp; 2.5 GPM faucet</t>
  </si>
  <si>
    <t>2 GPM sprayer nozzle &amp; 1.5 GPM faucet?</t>
  </si>
  <si>
    <t>N/A</t>
  </si>
  <si>
    <t>Fryer</t>
  </si>
  <si>
    <t>ENERGY STAR</t>
  </si>
  <si>
    <t>Conveyor Oven</t>
  </si>
  <si>
    <t>Efficient (&gt;44% Baking Efficiency)</t>
  </si>
  <si>
    <t>Griddle</t>
  </si>
  <si>
    <t>Unit Heater</t>
  </si>
  <si>
    <t>Infrared Radiant</t>
  </si>
  <si>
    <t>Insulation - Roof/Ceiling</t>
  </si>
  <si>
    <t>R-13</t>
  </si>
  <si>
    <t>R-49</t>
  </si>
  <si>
    <t>Gas Boiler - Insulate Hot Water Lines</t>
  </si>
  <si>
    <t>No insulation</t>
  </si>
  <si>
    <t>Insulated water lines</t>
  </si>
  <si>
    <t>Insulation - Wall Cavity</t>
  </si>
  <si>
    <t>R-11 or less</t>
  </si>
  <si>
    <t>R-21</t>
  </si>
  <si>
    <t>Water Heater - Efficient Dishwasher</t>
  </si>
  <si>
    <t>Standard unit</t>
  </si>
  <si>
    <t>ESTAR unit</t>
  </si>
  <si>
    <t>Water Heater - Motion Control Faucet</t>
  </si>
  <si>
    <t>Standard faucet</t>
  </si>
  <si>
    <t>Motion activated faucet</t>
  </si>
  <si>
    <t>Water Heater - Ozone Laundry</t>
  </si>
  <si>
    <t>Ozone laundry system</t>
  </si>
  <si>
    <t>Steamer</t>
  </si>
  <si>
    <t>Water Heater</t>
  </si>
  <si>
    <t>TE 80%</t>
  </si>
  <si>
    <t>TE 96%</t>
  </si>
  <si>
    <t>Furnace</t>
  </si>
  <si>
    <t>AFUE 96%</t>
  </si>
  <si>
    <t>Windows - High Efficiency</t>
  </si>
  <si>
    <t>U-.5 or worse</t>
  </si>
  <si>
    <t>U-.22 or better</t>
  </si>
  <si>
    <t>800 kBtu/hr</t>
  </si>
  <si>
    <t>BoilerCtrl</t>
  </si>
  <si>
    <t>ClothesWashers</t>
  </si>
  <si>
    <t>1 unit</t>
  </si>
  <si>
    <t>sqft</t>
  </si>
  <si>
    <t>perBldg</t>
  </si>
  <si>
    <t>125 kBtu/Hr</t>
  </si>
  <si>
    <t>sqft roof</t>
  </si>
  <si>
    <t>boiler pipe</t>
  </si>
  <si>
    <t>employee</t>
  </si>
  <si>
    <t>sqft wall</t>
  </si>
  <si>
    <t>site</t>
  </si>
  <si>
    <t>1 kBtu/hr</t>
  </si>
  <si>
    <t>400 kBtu/hr</t>
  </si>
  <si>
    <t>sqft window</t>
  </si>
  <si>
    <t>Key</t>
  </si>
  <si>
    <t>Updated Unit</t>
  </si>
  <si>
    <t>kBtu/hr</t>
  </si>
  <si>
    <t xml:space="preserve">PROGRAM YEAR </t>
  </si>
  <si>
    <t>ANNUAL THERM SAVINGS/UNIT</t>
  </si>
  <si>
    <t>LoadMap ANNUAL THERM SAVINGS/UNIT</t>
  </si>
  <si>
    <t>LoadMap UNITS</t>
  </si>
  <si>
    <t>UNITS INSTALLED</t>
  </si>
  <si>
    <t>MEASURE INCREMENTAL COST</t>
  </si>
  <si>
    <t>TOTAL INCREMENTAL COST</t>
  </si>
  <si>
    <t>SOCIETAL NEBS</t>
  </si>
  <si>
    <t>PARTICIPANT NEBS</t>
  </si>
  <si>
    <t>NET INSTALLED COST</t>
  </si>
  <si>
    <t>BENEFIT COST RATIO</t>
  </si>
  <si>
    <t>LOADED TRC</t>
  </si>
  <si>
    <t>TOTAL RESOURCE COST</t>
  </si>
  <si>
    <t>LOADED UCT</t>
  </si>
  <si>
    <t>UTILITY COST</t>
  </si>
  <si>
    <t>CALCULATED REBATE COST</t>
  </si>
  <si>
    <t>LOADMAP UNITS</t>
  </si>
  <si>
    <t>LOADMAP REBATE</t>
  </si>
  <si>
    <t>PROGRAM REBATE</t>
  </si>
  <si>
    <t>LOADMAP Life</t>
  </si>
  <si>
    <t>Recommended Savings</t>
  </si>
  <si>
    <t>Recommended Life</t>
  </si>
  <si>
    <t>Recommended Rebate</t>
  </si>
  <si>
    <t>LoadMap INCREMENTAL COST</t>
  </si>
  <si>
    <t>Recommended Cost</t>
  </si>
  <si>
    <t>Recommended</t>
  </si>
  <si>
    <t>Original</t>
  </si>
  <si>
    <t>gpm</t>
  </si>
  <si>
    <t>ton</t>
  </si>
  <si>
    <t>Condensing</t>
  </si>
  <si>
    <t>Measure</t>
  </si>
  <si>
    <t>Efficiency Type For Qualification</t>
  </si>
  <si>
    <t>FEBRUARY 2021 REBATE</t>
  </si>
  <si>
    <t>FEBRUARY 2021 UCT</t>
  </si>
  <si>
    <t>High Efficiency Condensing Boiler with Electronic Ignition</t>
  </si>
  <si>
    <t>Minimum 90% Thermal Efficiency and 300 kBtu input</t>
  </si>
  <si>
    <t>$6/kBtu/hr</t>
  </si>
  <si>
    <t>$0.75/kBtu/hr</t>
  </si>
  <si>
    <r>
      <t>Boiler Steam Trap</t>
    </r>
    <r>
      <rPr>
        <vertAlign val="superscript"/>
        <sz val="10"/>
        <rFont val="Calibri"/>
        <family val="2"/>
      </rPr>
      <t>2</t>
    </r>
  </si>
  <si>
    <t>Steam Trap fitted to Steam Boiler (retrofit only)</t>
  </si>
  <si>
    <t>Min 300 kBtu input and steam pressures at 7psig or greater</t>
  </si>
  <si>
    <r>
      <t>Bundles</t>
    </r>
    <r>
      <rPr>
        <vertAlign val="superscript"/>
        <sz val="10"/>
        <rFont val="Calibri"/>
        <family val="2"/>
      </rPr>
      <t>4</t>
    </r>
  </si>
  <si>
    <t>Applications that contain multiple rebate eligible measures may qualify for an additional Bundle rebate.</t>
  </si>
  <si>
    <r>
      <rPr>
        <sz val="10"/>
        <rFont val="Calibri"/>
        <family val="2"/>
      </rPr>
      <t>Bundle A:  2 insulation measures, minimum 1,000 sqft
Bundle B:  2 kitchen equipment measures
Bundle C:  3 kitchen equipment measures</t>
    </r>
  </si>
  <si>
    <t>Bundle A:  $500 Bundle B:  $300 Bundle C:  $500</t>
  </si>
  <si>
    <t>For Packaged HVAC Units equipped with Gas Fired Furnace Sections and Direct Expansion Cooling Sections</t>
  </si>
  <si>
    <r>
      <rPr>
        <sz val="10"/>
        <rFont val="Calibri"/>
        <family val="2"/>
      </rPr>
      <t>≥ 5 ton (60,000 Btu/hr) and ≤ 20 ton (240,000 Btu/hr) Meets Northwest Joint Utility Advanced Rooftop Control (ARC)
Guidelines for DCV Control</t>
    </r>
  </si>
  <si>
    <t>$20/nominal ton capacity</t>
  </si>
  <si>
    <t>Domestic Hot Water Tanks</t>
  </si>
  <si>
    <t>Minimum 91% Thermal Efficiency</t>
  </si>
  <si>
    <t>$2.50/kBtu/hr</t>
  </si>
  <si>
    <r>
      <t>ENERGY STAR</t>
    </r>
    <r>
      <rPr>
        <vertAlign val="superscript"/>
        <sz val="10"/>
        <rFont val="Calibri"/>
        <family val="2"/>
      </rPr>
      <t>®</t>
    </r>
  </si>
  <si>
    <r>
      <rPr>
        <sz val="10"/>
        <rFont val="Calibri"/>
        <family val="2"/>
      </rPr>
      <t>≥ 50% Cooking Efficiency;
≤ 35,000 Btu/hr/ Idle Rate D Rack</t>
    </r>
  </si>
  <si>
    <t>Energy Savings Kit A</t>
  </si>
  <si>
    <t>Kitchen Pre-Rinse Spray Valve</t>
  </si>
  <si>
    <t>≤ 1.0 gpm</t>
  </si>
  <si>
    <t>Free</t>
  </si>
  <si>
    <t>Retrofit Only</t>
  </si>
  <si>
    <r>
      <t>Pre R &lt; 11, Post R &gt; 30</t>
    </r>
    <r>
      <rPr>
        <vertAlign val="superscript"/>
        <sz val="10"/>
        <rFont val="Calibri"/>
        <family val="2"/>
      </rPr>
      <t>7</t>
    </r>
  </si>
  <si>
    <t>$0.75/sqft</t>
  </si>
  <si>
    <t>≥ 44% Cooking Efficiency; ≤ 13,000 Btu/hr Idle Rate</t>
  </si>
  <si>
    <t>Natural Gas Conveyor Oven</t>
  </si>
  <si>
    <t>&gt; 42% tested baking efficiency</t>
  </si>
  <si>
    <r>
      <rPr>
        <sz val="10"/>
        <rFont val="Calibri"/>
        <family val="2"/>
      </rPr>
      <t>≥ 38% Cooking Efficiency; ≤ 2650 Btu/hr-
sqft Idle Rate</t>
    </r>
  </si>
  <si>
    <t>HVAC Unit Heater</t>
  </si>
  <si>
    <t>$5/kBtu/hr</t>
  </si>
  <si>
    <r>
      <t>Insulation</t>
    </r>
    <r>
      <rPr>
        <vertAlign val="superscript"/>
        <sz val="10"/>
        <rFont val="Calibri"/>
        <family val="2"/>
      </rPr>
      <t>6</t>
    </r>
  </si>
  <si>
    <t>Attic (retrofit only)</t>
  </si>
  <si>
    <t>Roof (retrofit only)</t>
  </si>
  <si>
    <t>Wall (retrofit only)</t>
  </si>
  <si>
    <r>
      <t>Ozone Injection Laundry</t>
    </r>
    <r>
      <rPr>
        <vertAlign val="superscript"/>
        <sz val="10"/>
        <rFont val="Calibri"/>
        <family val="2"/>
      </rPr>
      <t>3</t>
    </r>
  </si>
  <si>
    <r>
      <rPr>
        <sz val="10"/>
        <rFont val="Calibri"/>
        <family val="2"/>
      </rPr>
      <t>Venturi Injection or Bubble Diffusion – Minimum 125 lb Total
Washer/Extractor Capacity</t>
    </r>
  </si>
  <si>
    <t>Pre-Approved by CNG</t>
  </si>
  <si>
    <r>
      <t>Piping Insulation</t>
    </r>
    <r>
      <rPr>
        <vertAlign val="superscript"/>
        <sz val="10"/>
        <rFont val="Calibri"/>
        <family val="2"/>
      </rPr>
      <t>6</t>
    </r>
  </si>
  <si>
    <t>Insulation of piping conveying hot fluids generated from gas fired equipment (retrofit only)</t>
  </si>
  <si>
    <t>Direct Fired Radiant Heating</t>
  </si>
  <si>
    <t>$15/kBtu/hr</t>
  </si>
  <si>
    <t>Recirculation Controls</t>
  </si>
  <si>
    <t>Continuous Operation DHW Pump</t>
  </si>
  <si>
    <t>Add Time lock Control to DHW circulation pump</t>
  </si>
  <si>
    <t>Tankless Hot Water Heater</t>
  </si>
  <si>
    <t>Warm Air Furnace</t>
  </si>
  <si>
    <t>High Efficiency Condensing Furnace</t>
  </si>
  <si>
    <r>
      <t>Windows</t>
    </r>
    <r>
      <rPr>
        <vertAlign val="superscript"/>
        <sz val="10"/>
        <rFont val="Calibri"/>
        <family val="2"/>
      </rPr>
      <t>5</t>
    </r>
  </si>
  <si>
    <t>$5.00/sqft</t>
  </si>
  <si>
    <t>1 Minimum value of R-11 applies only where existing walls have no internal insulation cavities.</t>
  </si>
  <si>
    <t>2 To qualify for rebate, steam trap size must be &lt;2”, minimum 25 psig trap design pressure. This measure will only be allowed where the customer agrees to have the trap regularly maintained and replaced every seven years.</t>
  </si>
  <si>
    <t>3 Qualifying customers with Commercial laundries that utilize gas heated hot water.</t>
  </si>
  <si>
    <t>4 Kitchen equipment is defined as dishwashers, steamers, ovens, fryers, and griddles. Bundles are subject to change in consultation with the Conservation Advisory Group.</t>
  </si>
  <si>
    <t>5 Pre-existing window must be a single pane.</t>
  </si>
  <si>
    <t>6 The Company will pay custom incentive levels at the lesser of the normalized tariff amount or actual installed cost and will work with its CAG should it deem necessary to update this criteria.</t>
  </si>
  <si>
    <t>7 Not applicable to slab on grade foundations.</t>
  </si>
  <si>
    <t>No participation.</t>
  </si>
  <si>
    <t>Not in plan.</t>
  </si>
  <si>
    <t>Measure #</t>
  </si>
  <si>
    <t>Minimum 85% Thermal Efficiency and *** kBtu input</t>
  </si>
  <si>
    <t>12a</t>
  </si>
  <si>
    <t>12b</t>
  </si>
  <si>
    <t>12c</t>
  </si>
  <si>
    <t>17a</t>
  </si>
  <si>
    <t>17b</t>
  </si>
  <si>
    <t>17c</t>
  </si>
  <si>
    <t>Gas Griddle (Grocery)</t>
  </si>
  <si>
    <t>Gas Griddle (Lodging)</t>
  </si>
  <si>
    <t>Gas Griddle (Restaurant)</t>
  </si>
  <si>
    <t>Gas Griddle (School)</t>
  </si>
  <si>
    <t>1.57</t>
  </si>
  <si>
    <t>30a</t>
  </si>
  <si>
    <t>14a</t>
  </si>
  <si>
    <t>14b</t>
  </si>
  <si>
    <t>14c</t>
  </si>
  <si>
    <t>Gas Convection Oven (Grocery)</t>
  </si>
  <si>
    <t>Gas Convection Oven (Lodging)</t>
  </si>
  <si>
    <t>Gas Convection Oven (Restaurant)</t>
  </si>
  <si>
    <t>Gas Convection Oven (School)</t>
  </si>
  <si>
    <t>19a</t>
  </si>
  <si>
    <t>Tier Two: Minimum R-45</t>
  </si>
  <si>
    <t>Tier One: Minimum R-30</t>
  </si>
  <si>
    <t>Tier Two: $2.50/sqft</t>
  </si>
  <si>
    <t>Tier One: $2.00/sqft</t>
  </si>
  <si>
    <t>Tier Two: Minimum R-19</t>
  </si>
  <si>
    <t>20a</t>
  </si>
  <si>
    <t>21a</t>
  </si>
  <si>
    <t>Tier Two: $2.50/ sqft</t>
  </si>
  <si>
    <t>Tier Two: $1.50/sqft</t>
  </si>
  <si>
    <t>Tier 2, 2.5”:  ≥ 200F</t>
  </si>
  <si>
    <t>Tier 2:  $25/ linear foot</t>
  </si>
  <si>
    <t>Tier 1:  $15 / linear foot</t>
  </si>
  <si>
    <t>Tier 1, 1.5”: &gt;140F and &lt;200F</t>
  </si>
  <si>
    <t>25a</t>
  </si>
  <si>
    <t>0.93 UEF</t>
  </si>
  <si>
    <t>$150/gpm</t>
  </si>
  <si>
    <t>$120/gpm</t>
  </si>
  <si>
    <t>0.87 UEF</t>
  </si>
  <si>
    <t>28a</t>
  </si>
  <si>
    <t>Minimum R-30</t>
  </si>
  <si>
    <t>U-.22 or less</t>
  </si>
  <si>
    <t>kBtu/Hr</t>
  </si>
  <si>
    <t>1.58</t>
  </si>
  <si>
    <t>FEBRUARY 2021 TRC</t>
  </si>
  <si>
    <t>-</t>
  </si>
  <si>
    <t>Portfolio Level Cost Effectiveness</t>
  </si>
  <si>
    <t>Single pane to .3 or less (not LoadMAP's .50 to .22) per sq ft</t>
  </si>
  <si>
    <t>0.3 or less U</t>
  </si>
  <si>
    <t>U factor of 0.3 or less (retrofit only)</t>
  </si>
  <si>
    <t>0.3 U or less</t>
  </si>
  <si>
    <t>2022 Measures Installed</t>
  </si>
  <si>
    <t>2023 Measures Installed</t>
  </si>
  <si>
    <t>CNGC Meaure % of Total Potential 2022</t>
  </si>
  <si>
    <t>CNGC Meaure % of Total Potential 2023</t>
  </si>
  <si>
    <t>Custom Measure Offerings Aggregate</t>
  </si>
  <si>
    <t>2022 TOTAL ANNUAL THERM SAVINGS</t>
  </si>
  <si>
    <t>2023 TOTAL ANNUAL THERM SAVINGS</t>
  </si>
  <si>
    <t>Total 2022 Program Admin.</t>
  </si>
  <si>
    <t>2022 DISCOUNTED THERM SAVINGS</t>
  </si>
  <si>
    <t>2023 DISCOUNTED THERM SAVINGS</t>
  </si>
  <si>
    <t>2022 PROGRAM DELIVERY &amp; ADMIN</t>
  </si>
  <si>
    <t>2023 PROGRAM DELIVERY &amp; ADMIN</t>
  </si>
  <si>
    <t>/Therm</t>
  </si>
  <si>
    <t>Cost Effectiveness 2022</t>
  </si>
  <si>
    <t>Cost Effectiveness 2023</t>
  </si>
  <si>
    <t>2020 Custom Measures</t>
  </si>
  <si>
    <t>PROPOSED REBATE</t>
  </si>
  <si>
    <t>PROPOSED UCT</t>
  </si>
  <si>
    <t>PROPOSED TRC</t>
  </si>
  <si>
    <t>EM&amp;V</t>
  </si>
  <si>
    <t>Conservation Potential Assessment</t>
  </si>
  <si>
    <t>Total NEI ---&gt;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</si>
</sst>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_(&quot;$&quot;* #,##0.000_);_(&quot;$&quot;* \(#,##0.000\);_(&quot;$&quot;* &quot;-&quot;??_);_(@_)"/>
    <numFmt numFmtId="165" formatCode="_(&quot;$&quot;* #,##0.000_);_(&quot;$&quot;* \(#,##0.000\);_(&quot;$&quot;* &quot;-&quot;???_);_(@_)"/>
    <numFmt numFmtId="166" formatCode="0.000%"/>
    <numFmt numFmtId="167" formatCode="#,##0.000"/>
    <numFmt numFmtId="168" formatCode="&quot;$&quot;#,##0.0000_);[Red]\(&quot;$&quot;#,##0.0000\)"/>
    <numFmt numFmtId="169" formatCode="&quot;$&quot;#,##0.00"/>
    <numFmt numFmtId="170" formatCode="_(&quot;$&quot;* #,##0_);_(&quot;$&quot;* \(#,##0\);_(&quot;$&quot;* &quot;-&quot;??_);_(@_)"/>
    <numFmt numFmtId="171" formatCode="_(* #,##0_);_(* \(#,##0\);_(* &quot;-&quot;??_);_(@_)"/>
    <numFmt numFmtId="172" formatCode="&quot;$&quot;#,##0.0000"/>
    <numFmt numFmtId="173" formatCode="\$#,##0.00;\$\-#,##0.00"/>
    <numFmt numFmtId="174" formatCode="&quot;$&quot;#,##0"/>
    <numFmt numFmtId="175" formatCode="&quot;$&quot;#,##0.000"/>
    <numFmt numFmtId="176" formatCode="0.000"/>
  </numFmts>
  <fonts count="40" x14ac:knownFonts="1">
    <font>
      <sz val="10"/>
      <name val="Times New Roman"/>
    </font>
    <font>
      <sz val="11"/>
      <color theme="1"/>
      <name val="Calibri"/>
      <family val="2"/>
      <scheme val="minor"/>
    </font>
    <font>
      <sz val="11"/>
      <color theme="1"/>
      <name val="Calibri"/>
      <family val="2"/>
      <scheme val="minor"/>
    </font>
    <font>
      <b/>
      <sz val="10"/>
      <name val="Times New Roman"/>
      <family val="1"/>
    </font>
    <font>
      <sz val="10"/>
      <name val="Times New Roman"/>
      <family val="1"/>
    </font>
    <font>
      <sz val="10"/>
      <name val="Arial"/>
      <family val="2"/>
    </font>
    <font>
      <sz val="8"/>
      <name val="Arial"/>
      <family val="2"/>
    </font>
    <font>
      <sz val="10"/>
      <color indexed="0"/>
      <name val="Arial"/>
      <family val="2"/>
    </font>
    <font>
      <sz val="10"/>
      <color theme="1"/>
      <name val="Times New Roman"/>
      <family val="1"/>
    </font>
    <font>
      <sz val="10"/>
      <name val="Times New Roman"/>
      <family val="1"/>
    </font>
    <font>
      <sz val="10"/>
      <name val="Arial"/>
      <family val="2"/>
    </font>
    <font>
      <sz val="10"/>
      <color indexed="0"/>
      <name val="Arial"/>
      <family val="2"/>
    </font>
    <font>
      <sz val="10"/>
      <color rgb="FFFF0000"/>
      <name val="Times New Roman"/>
      <family val="1"/>
    </font>
    <font>
      <sz val="10"/>
      <color indexed="0"/>
      <name val="Arial"/>
      <family val="2"/>
    </font>
    <font>
      <sz val="11"/>
      <name val="Calibri"/>
      <family val="2"/>
    </font>
    <font>
      <sz val="11"/>
      <name val="Calibri"/>
      <family val="2"/>
    </font>
    <font>
      <sz val="11"/>
      <name val="Calibri"/>
      <family val="2"/>
    </font>
    <font>
      <sz val="8"/>
      <color rgb="FF000000"/>
      <name val="Arial"/>
      <family val="2"/>
    </font>
    <font>
      <b/>
      <sz val="14"/>
      <color rgb="FFFFFFFF"/>
      <name val="Arial"/>
      <family val="2"/>
    </font>
    <font>
      <b/>
      <sz val="14"/>
      <color theme="0"/>
      <name val="Arial"/>
      <family val="2"/>
    </font>
    <font>
      <b/>
      <sz val="10"/>
      <color rgb="FFFFFFFF"/>
      <name val="Arial"/>
      <family val="2"/>
    </font>
    <font>
      <sz val="10"/>
      <color rgb="FF000000"/>
      <name val="Arial"/>
      <family val="2"/>
    </font>
    <font>
      <i/>
      <sz val="11"/>
      <color theme="0" tint="-0.249977111117893"/>
      <name val="Calibri"/>
      <family val="2"/>
      <scheme val="minor"/>
    </font>
    <font>
      <i/>
      <sz val="10"/>
      <color theme="0" tint="-0.249977111117893"/>
      <name val="Times New Roman"/>
      <family val="1"/>
    </font>
    <font>
      <sz val="10"/>
      <name val="Calibri"/>
      <family val="2"/>
      <scheme val="minor"/>
    </font>
    <font>
      <b/>
      <sz val="15"/>
      <color rgb="FF3634E0"/>
      <name val="Arial"/>
      <family val="2"/>
    </font>
    <font>
      <b/>
      <sz val="21"/>
      <color rgb="FF058FFF"/>
      <name val="Arial"/>
      <family val="2"/>
    </font>
    <font>
      <b/>
      <sz val="17"/>
      <color rgb="FF058FFF"/>
      <name val="Arial"/>
      <family val="2"/>
    </font>
    <font>
      <b/>
      <sz val="10"/>
      <name val="Arial"/>
      <family val="2"/>
    </font>
    <font>
      <b/>
      <sz val="12"/>
      <name val="Arial"/>
      <family val="2"/>
    </font>
    <font>
      <b/>
      <sz val="16"/>
      <color rgb="FFFFFFFF"/>
      <name val="Arial"/>
      <family val="2"/>
    </font>
    <font>
      <b/>
      <sz val="10"/>
      <name val="Calibri"/>
      <family val="2"/>
    </font>
    <font>
      <sz val="10"/>
      <color rgb="FF000000"/>
      <name val="Times New Roman"/>
      <family val="1"/>
    </font>
    <font>
      <sz val="10"/>
      <name val="Calibri"/>
      <family val="2"/>
    </font>
    <font>
      <sz val="10"/>
      <color rgb="FF000000"/>
      <name val="Calibri"/>
      <family val="2"/>
    </font>
    <font>
      <vertAlign val="superscript"/>
      <sz val="10"/>
      <name val="Calibri"/>
      <family val="2"/>
    </font>
    <font>
      <i/>
      <sz val="10"/>
      <color rgb="FFFF0000"/>
      <name val="Times New Roman"/>
      <family val="1"/>
    </font>
    <font>
      <b/>
      <sz val="10"/>
      <color rgb="FFFF0000"/>
      <name val="Arial"/>
      <family val="2"/>
    </font>
    <font>
      <sz val="8"/>
      <name val="Times New Roman"/>
      <family val="1"/>
    </font>
    <font>
      <sz val="20"/>
      <name val="Times New Roman"/>
      <family val="1"/>
    </font>
  </fonts>
  <fills count="16">
    <fill>
      <patternFill patternType="none"/>
    </fill>
    <fill>
      <patternFill patternType="gray125"/>
    </fill>
    <fill>
      <patternFill patternType="solid">
        <fgColor theme="0"/>
        <bgColor indexed="64"/>
      </patternFill>
    </fill>
    <fill>
      <patternFill patternType="solid">
        <fgColor rgb="FFFFCC99"/>
        <bgColor indexed="64"/>
      </patternFill>
    </fill>
    <fill>
      <patternFill patternType="solid">
        <fgColor rgb="FFFFFF00"/>
        <bgColor indexed="64"/>
      </patternFill>
    </fill>
    <fill>
      <patternFill patternType="solid">
        <fgColor rgb="FF5AA6DB"/>
      </patternFill>
    </fill>
    <fill>
      <patternFill patternType="solid">
        <fgColor theme="9" tint="-0.249977111117893"/>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E8E6E6"/>
      </patternFill>
    </fill>
    <fill>
      <patternFill patternType="solid">
        <fgColor rgb="FFF89842"/>
      </patternFill>
    </fill>
    <fill>
      <patternFill patternType="solid">
        <fgColor rgb="FFA1C064"/>
        <bgColor indexed="64"/>
      </patternFill>
    </fill>
    <fill>
      <patternFill patternType="solid">
        <fgColor theme="6" tint="0.79998168889431442"/>
        <bgColor indexed="64"/>
      </patternFill>
    </fill>
    <fill>
      <patternFill patternType="solid">
        <fgColor rgb="FFDADADA"/>
      </patternFill>
    </fill>
    <fill>
      <patternFill patternType="solid">
        <fgColor theme="3" tint="0.79998168889431442"/>
        <bgColor indexed="64"/>
      </patternFill>
    </fill>
    <fill>
      <patternFill patternType="solid">
        <fgColor theme="7" tint="0.39997558519241921"/>
        <bgColor indexed="64"/>
      </patternFill>
    </fill>
  </fills>
  <borders count="48">
    <border>
      <left/>
      <right/>
      <top/>
      <bottom/>
      <diagonal/>
    </border>
    <border>
      <left/>
      <right/>
      <top/>
      <bottom style="thin">
        <color indexed="64"/>
      </bottom>
      <diagonal/>
    </border>
    <border>
      <left style="thin">
        <color indexed="64"/>
      </left>
      <right style="thin">
        <color indexed="64"/>
      </right>
      <top/>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medium">
        <color rgb="FFD6D2D2"/>
      </left>
      <right style="medium">
        <color rgb="FFD6D2D2"/>
      </right>
      <top style="medium">
        <color rgb="FFD6D2D2"/>
      </top>
      <bottom style="medium">
        <color rgb="FFD6D2D2"/>
      </bottom>
      <diagonal/>
    </border>
    <border>
      <left style="thick">
        <color rgb="FFD6D2D2"/>
      </left>
      <right/>
      <top/>
      <bottom style="medium">
        <color rgb="FFD6D2D2"/>
      </bottom>
      <diagonal/>
    </border>
    <border>
      <left/>
      <right/>
      <top/>
      <bottom style="medium">
        <color theme="0" tint="-0.249977111117893"/>
      </bottom>
      <diagonal/>
    </border>
    <border>
      <left/>
      <right/>
      <top/>
      <bottom style="medium">
        <color rgb="FFD6D2D2"/>
      </bottom>
      <diagonal/>
    </border>
    <border>
      <left style="medium">
        <color theme="0" tint="-0.249977111117893"/>
      </left>
      <right style="medium">
        <color theme="0" tint="-0.249977111117893"/>
      </right>
      <top/>
      <bottom style="medium">
        <color rgb="FFD6D2D2"/>
      </bottom>
      <diagonal/>
    </border>
    <border>
      <left/>
      <right/>
      <top style="medium">
        <color theme="0" tint="-0.249977111117893"/>
      </top>
      <bottom style="medium">
        <color theme="0" tint="-0.249977111117893"/>
      </bottom>
      <diagonal/>
    </border>
    <border>
      <left/>
      <right style="medium">
        <color theme="0" tint="-0.249977111117893"/>
      </right>
      <top style="medium">
        <color theme="0" tint="-0.249977111117893"/>
      </top>
      <bottom style="medium">
        <color theme="0" tint="-0.249977111117893"/>
      </bottom>
      <diagonal/>
    </border>
    <border>
      <left style="medium">
        <color theme="0" tint="-0.249977111117893"/>
      </left>
      <right style="medium">
        <color theme="0" tint="-0.249977111117893"/>
      </right>
      <top style="medium">
        <color theme="0" tint="-0.249977111117893"/>
      </top>
      <bottom style="medium">
        <color rgb="FFD6D2D2"/>
      </bottom>
      <diagonal/>
    </border>
    <border>
      <left style="thick">
        <color theme="6" tint="0.39997558519241921"/>
      </left>
      <right style="medium">
        <color theme="0" tint="-0.249977111117893"/>
      </right>
      <top/>
      <bottom style="medium">
        <color rgb="FFD6D2D2"/>
      </bottom>
      <diagonal/>
    </border>
    <border>
      <left style="medium">
        <color theme="0" tint="-0.249977111117893"/>
      </left>
      <right/>
      <top style="medium">
        <color theme="0" tint="-0.249977111117893"/>
      </top>
      <bottom style="medium">
        <color theme="0" tint="-0.249977111117893"/>
      </bottom>
      <diagonal/>
    </border>
    <border>
      <left style="medium">
        <color theme="0" tint="-0.249977111117893"/>
      </left>
      <right style="thick">
        <color theme="6" tint="0.39997558519241921"/>
      </right>
      <top style="medium">
        <color theme="0" tint="-0.249977111117893"/>
      </top>
      <bottom style="medium">
        <color rgb="FFD6D2D2"/>
      </bottom>
      <diagonal/>
    </border>
    <border>
      <left style="medium">
        <color theme="0" tint="-0.249977111117893"/>
      </left>
      <right/>
      <top style="medium">
        <color theme="0" tint="-0.249977111117893"/>
      </top>
      <bottom style="medium">
        <color rgb="FFD6D2D2"/>
      </bottom>
      <diagonal/>
    </border>
    <border>
      <left style="medium">
        <color theme="0" tint="-0.249977111117893"/>
      </left>
      <right/>
      <top/>
      <bottom style="medium">
        <color rgb="FFD6D2D2"/>
      </bottom>
      <diagonal/>
    </border>
    <border>
      <left style="medium">
        <color theme="0" tint="-0.14999847407452621"/>
      </left>
      <right style="medium">
        <color theme="0" tint="-0.14999847407452621"/>
      </right>
      <top/>
      <bottom/>
      <diagonal/>
    </border>
    <border>
      <left style="medium">
        <color theme="0" tint="-0.14999847407452621"/>
      </left>
      <right/>
      <top style="medium">
        <color theme="0" tint="-0.14999847407452621"/>
      </top>
      <bottom/>
      <diagonal/>
    </border>
    <border>
      <left style="thick">
        <color rgb="FFD6D2D2"/>
      </left>
      <right style="thick">
        <color rgb="FFD6D2D2"/>
      </right>
      <top style="medium">
        <color rgb="FFD6D2D2"/>
      </top>
      <bottom/>
      <diagonal/>
    </border>
    <border>
      <left style="thick">
        <color rgb="FFD6D2D2"/>
      </left>
      <right style="thick">
        <color rgb="FFD6D2D2"/>
      </right>
      <top/>
      <bottom/>
      <diagonal/>
    </border>
    <border>
      <left style="thick">
        <color rgb="FFD6D2D2"/>
      </left>
      <right/>
      <top style="medium">
        <color theme="0" tint="-0.14999847407452621"/>
      </top>
      <bottom style="medium">
        <color theme="0" tint="-0.14999847407452621"/>
      </bottom>
      <diagonal/>
    </border>
    <border>
      <left/>
      <right/>
      <top style="medium">
        <color theme="0" tint="-0.14999847407452621"/>
      </top>
      <bottom style="medium">
        <color theme="0" tint="-0.14999847407452621"/>
      </bottom>
      <diagonal/>
    </border>
    <border>
      <left style="medium">
        <color rgb="FFD6D2D2"/>
      </left>
      <right style="medium">
        <color rgb="FFD6D2D2"/>
      </right>
      <top style="medium">
        <color rgb="FFD6D2D2"/>
      </top>
      <bottom style="medium">
        <color theme="0" tint="-0.14999847407452621"/>
      </bottom>
      <diagonal/>
    </border>
    <border>
      <left style="medium">
        <color theme="0" tint="-0.14999847407452621"/>
      </left>
      <right style="medium">
        <color theme="0" tint="-0.14999847407452621"/>
      </right>
      <top style="medium">
        <color theme="0" tint="-0.14999847407452621"/>
      </top>
      <bottom/>
      <diagonal/>
    </border>
    <border>
      <left style="thick">
        <color rgb="FFD6D2D2"/>
      </left>
      <right style="medium">
        <color rgb="FFD6D2D2"/>
      </right>
      <top/>
      <bottom/>
      <diagonal/>
    </border>
    <border>
      <left/>
      <right style="thick">
        <color rgb="FFD6D2D2"/>
      </right>
      <top/>
      <bottom/>
      <diagonal/>
    </border>
    <border>
      <left/>
      <right/>
      <top style="medium">
        <color rgb="FFD6D2D2"/>
      </top>
      <bottom/>
      <diagonal/>
    </border>
    <border>
      <left style="medium">
        <color rgb="FFD6D2D2"/>
      </left>
      <right/>
      <top style="medium">
        <color rgb="FFD6D2D2"/>
      </top>
      <bottom style="medium">
        <color theme="0" tint="-0.14999847407452621"/>
      </bottom>
      <diagonal/>
    </border>
    <border>
      <left/>
      <right/>
      <top style="medium">
        <color rgb="FFD6D2D2"/>
      </top>
      <bottom style="medium">
        <color theme="0" tint="-0.14999847407452621"/>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medium">
        <color theme="0" tint="-0.14999847407452621"/>
      </right>
      <top/>
      <bottom/>
      <diagonal/>
    </border>
    <border>
      <left/>
      <right/>
      <top/>
      <bottom style="medium">
        <color theme="0" tint="-0.14999847407452621"/>
      </bottom>
      <diagonal/>
    </border>
    <border>
      <left style="thick">
        <color rgb="FFD6D2D2"/>
      </left>
      <right style="medium">
        <color theme="0" tint="-0.14999847407452621"/>
      </right>
      <top/>
      <bottom/>
      <diagonal/>
    </border>
    <border>
      <left/>
      <right style="medium">
        <color rgb="FFD6D2D2"/>
      </right>
      <top style="medium">
        <color rgb="FFD6D2D2"/>
      </top>
      <bottom/>
      <diagonal/>
    </border>
    <border>
      <left/>
      <right style="medium">
        <color rgb="FFD6D2D2"/>
      </right>
      <top/>
      <bottom style="medium">
        <color theme="0" tint="-0.14999847407452621"/>
      </bottom>
      <diagonal/>
    </border>
    <border>
      <left/>
      <right style="medium">
        <color rgb="FFD6D2D2"/>
      </right>
      <top/>
      <bottom/>
      <diagonal/>
    </border>
    <border>
      <left style="medium">
        <color rgb="FFD6D2D2"/>
      </left>
      <right/>
      <top style="medium">
        <color rgb="FFD6D2D2"/>
      </top>
      <bottom style="medium">
        <color rgb="FFD6D2D2"/>
      </bottom>
      <diagonal/>
    </border>
    <border>
      <left/>
      <right/>
      <top style="medium">
        <color rgb="FFD6D2D2"/>
      </top>
      <bottom style="medium">
        <color rgb="FFD6D2D2"/>
      </bottom>
      <diagonal/>
    </border>
    <border>
      <left/>
      <right style="medium">
        <color rgb="FFD6D2D2"/>
      </right>
      <top style="medium">
        <color rgb="FFD6D2D2"/>
      </top>
      <bottom style="medium">
        <color rgb="FFD6D2D2"/>
      </bottom>
      <diagonal/>
    </border>
  </borders>
  <cellStyleXfs count="21">
    <xf numFmtId="0" fontId="0" fillId="0" borderId="0"/>
    <xf numFmtId="43" fontId="4" fillId="0" borderId="0" applyFont="0" applyFill="0" applyBorder="0" applyAlignment="0" applyProtection="0"/>
    <xf numFmtId="44" fontId="4" fillId="0" borderId="0" applyFont="0" applyFill="0" applyBorder="0" applyAlignment="0" applyProtection="0"/>
    <xf numFmtId="0" fontId="5" fillId="0" borderId="0"/>
    <xf numFmtId="9" fontId="4"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7"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0" fontId="10" fillId="0" borderId="0"/>
    <xf numFmtId="9" fontId="9" fillId="0" borderId="0" applyFont="0" applyFill="0" applyBorder="0" applyAlignment="0" applyProtection="0"/>
    <xf numFmtId="0" fontId="11" fillId="0" borderId="0"/>
    <xf numFmtId="0" fontId="13" fillId="0" borderId="0"/>
    <xf numFmtId="0" fontId="14" fillId="0" borderId="0"/>
    <xf numFmtId="0" fontId="15" fillId="0" borderId="0"/>
    <xf numFmtId="0" fontId="16" fillId="0" borderId="0"/>
  </cellStyleXfs>
  <cellXfs count="215">
    <xf numFmtId="0" fontId="0" fillId="0" borderId="0" xfId="0"/>
    <xf numFmtId="0" fontId="4" fillId="0" borderId="0" xfId="0" applyFont="1" applyFill="1"/>
    <xf numFmtId="0" fontId="4" fillId="0" borderId="0" xfId="0" applyFont="1" applyFill="1" applyAlignment="1">
      <alignment horizontal="center"/>
    </xf>
    <xf numFmtId="0" fontId="4" fillId="0" borderId="0" xfId="0" applyFont="1" applyFill="1" applyBorder="1"/>
    <xf numFmtId="44" fontId="4" fillId="0" borderId="0" xfId="13" applyFont="1" applyFill="1"/>
    <xf numFmtId="0" fontId="3" fillId="0" borderId="0" xfId="3" applyFont="1" applyFill="1" applyAlignment="1">
      <alignment horizontal="center"/>
    </xf>
    <xf numFmtId="0" fontId="3" fillId="0" borderId="0" xfId="3" applyFont="1" applyAlignment="1">
      <alignment horizontal="center"/>
    </xf>
    <xf numFmtId="0" fontId="4" fillId="0" borderId="0" xfId="3" applyFont="1" applyFill="1"/>
    <xf numFmtId="0" fontId="4" fillId="0" borderId="0" xfId="3" applyFont="1"/>
    <xf numFmtId="0" fontId="4" fillId="0" borderId="0" xfId="3" applyFont="1" applyFill="1" applyAlignment="1">
      <alignment horizontal="center"/>
    </xf>
    <xf numFmtId="0" fontId="4" fillId="0" borderId="0" xfId="3" applyFont="1" applyBorder="1" applyAlignment="1">
      <alignment horizontal="center"/>
    </xf>
    <xf numFmtId="0" fontId="4" fillId="0" borderId="0" xfId="3" applyFont="1" applyAlignment="1">
      <alignment horizontal="center"/>
    </xf>
    <xf numFmtId="0" fontId="4" fillId="0" borderId="1" xfId="3" applyFont="1" applyFill="1" applyBorder="1" applyAlignment="1">
      <alignment horizontal="center"/>
    </xf>
    <xf numFmtId="0" fontId="4" fillId="0" borderId="3" xfId="3" applyFont="1" applyFill="1" applyBorder="1" applyAlignment="1">
      <alignment horizontal="center"/>
    </xf>
    <xf numFmtId="0" fontId="4" fillId="0" borderId="0" xfId="14" applyFont="1" applyFill="1"/>
    <xf numFmtId="168" fontId="4" fillId="0" borderId="0" xfId="14" applyNumberFormat="1" applyFont="1" applyFill="1" applyAlignment="1">
      <alignment horizontal="center"/>
    </xf>
    <xf numFmtId="44" fontId="4" fillId="0" borderId="0" xfId="14" applyNumberFormat="1" applyFont="1" applyFill="1" applyAlignment="1">
      <alignment horizontal="center"/>
    </xf>
    <xf numFmtId="9" fontId="4" fillId="0" borderId="0" xfId="4" applyFont="1" applyAlignment="1">
      <alignment horizontal="center"/>
    </xf>
    <xf numFmtId="44" fontId="4" fillId="0" borderId="0" xfId="3" applyNumberFormat="1" applyFont="1" applyFill="1"/>
    <xf numFmtId="10" fontId="4" fillId="0" borderId="0" xfId="14" applyNumberFormat="1" applyFont="1" applyFill="1" applyAlignment="1">
      <alignment horizontal="center"/>
    </xf>
    <xf numFmtId="44" fontId="4" fillId="0" borderId="0" xfId="4" applyNumberFormat="1" applyFont="1" applyFill="1"/>
    <xf numFmtId="0" fontId="3" fillId="0" borderId="0" xfId="3" applyFont="1" applyFill="1"/>
    <xf numFmtId="166" fontId="4" fillId="0" borderId="0" xfId="4" applyNumberFormat="1" applyFont="1" applyFill="1"/>
    <xf numFmtId="166" fontId="4" fillId="0" borderId="0" xfId="4" applyNumberFormat="1" applyFont="1"/>
    <xf numFmtId="166" fontId="4" fillId="0" borderId="0" xfId="3" applyNumberFormat="1" applyFont="1"/>
    <xf numFmtId="10" fontId="4" fillId="0" borderId="0" xfId="3" applyNumberFormat="1" applyFont="1"/>
    <xf numFmtId="10" fontId="4" fillId="0" borderId="0" xfId="4" applyNumberFormat="1" applyFont="1"/>
    <xf numFmtId="172" fontId="4" fillId="0" borderId="0" xfId="2" applyNumberFormat="1" applyFont="1" applyFill="1" applyAlignment="1">
      <alignment horizontal="center"/>
    </xf>
    <xf numFmtId="0" fontId="3" fillId="0" borderId="0" xfId="0" applyFont="1" applyFill="1"/>
    <xf numFmtId="0" fontId="3" fillId="0" borderId="0" xfId="0" applyFont="1" applyFill="1" applyAlignment="1">
      <alignment horizontal="left"/>
    </xf>
    <xf numFmtId="0" fontId="4" fillId="0" borderId="0" xfId="0" applyFont="1" applyFill="1" applyAlignment="1">
      <alignment horizontal="left"/>
    </xf>
    <xf numFmtId="2" fontId="4" fillId="0" borderId="0" xfId="0" applyNumberFormat="1" applyFont="1" applyFill="1" applyAlignment="1">
      <alignment horizontal="center"/>
    </xf>
    <xf numFmtId="4" fontId="3" fillId="0" borderId="0" xfId="0" applyNumberFormat="1" applyFont="1" applyFill="1"/>
    <xf numFmtId="0" fontId="4" fillId="0" borderId="0" xfId="0" applyFont="1" applyFill="1" applyBorder="1" applyAlignment="1">
      <alignment horizontal="center"/>
    </xf>
    <xf numFmtId="4" fontId="3" fillId="0" borderId="0" xfId="0" applyNumberFormat="1" applyFont="1" applyFill="1" applyBorder="1" applyAlignment="1">
      <alignment horizontal="center"/>
    </xf>
    <xf numFmtId="0" fontId="3" fillId="0" borderId="0" xfId="0" applyFont="1" applyFill="1" applyBorder="1" applyAlignment="1">
      <alignment horizontal="center"/>
    </xf>
    <xf numFmtId="0" fontId="4" fillId="0" borderId="0" xfId="0" applyFont="1" applyFill="1" applyBorder="1" applyAlignment="1">
      <alignment horizontal="left"/>
    </xf>
    <xf numFmtId="2" fontId="4" fillId="0" borderId="0" xfId="0" applyNumberFormat="1" applyFont="1" applyFill="1" applyBorder="1" applyAlignment="1">
      <alignment horizontal="center"/>
    </xf>
    <xf numFmtId="42" fontId="4" fillId="0" borderId="0" xfId="2" applyNumberFormat="1" applyFont="1" applyFill="1" applyBorder="1"/>
    <xf numFmtId="42" fontId="4" fillId="0" borderId="0" xfId="0" applyNumberFormat="1" applyFont="1" applyFill="1" applyBorder="1" applyAlignment="1">
      <alignment horizontal="center"/>
    </xf>
    <xf numFmtId="167" fontId="4" fillId="0" borderId="0" xfId="0" applyNumberFormat="1" applyFont="1" applyFill="1" applyBorder="1" applyAlignment="1">
      <alignment horizontal="center"/>
    </xf>
    <xf numFmtId="3" fontId="4" fillId="0" borderId="0" xfId="1" applyNumberFormat="1" applyFont="1" applyFill="1" applyBorder="1" applyAlignment="1">
      <alignment horizontal="center"/>
    </xf>
    <xf numFmtId="0" fontId="3" fillId="0" borderId="4" xfId="0" applyFont="1" applyFill="1" applyBorder="1" applyAlignment="1">
      <alignment horizontal="left"/>
    </xf>
    <xf numFmtId="10" fontId="4" fillId="0" borderId="5" xfId="0" applyNumberFormat="1" applyFont="1" applyFill="1" applyBorder="1" applyAlignment="1" applyProtection="1">
      <alignment horizontal="left"/>
    </xf>
    <xf numFmtId="10" fontId="4" fillId="0" borderId="0" xfId="0" applyNumberFormat="1" applyFont="1" applyFill="1" applyAlignment="1" applyProtection="1">
      <alignment horizontal="left"/>
    </xf>
    <xf numFmtId="2" fontId="4" fillId="0" borderId="0" xfId="0" applyNumberFormat="1" applyFont="1" applyFill="1" applyAlignment="1" applyProtection="1">
      <alignment horizontal="center"/>
    </xf>
    <xf numFmtId="10" fontId="4" fillId="0" borderId="0" xfId="0" applyNumberFormat="1" applyFont="1" applyFill="1" applyAlignment="1" applyProtection="1">
      <alignment horizontal="center"/>
    </xf>
    <xf numFmtId="10" fontId="3" fillId="0" borderId="0" xfId="0" applyNumberFormat="1" applyFont="1" applyFill="1" applyBorder="1" applyAlignment="1" applyProtection="1">
      <alignment horizontal="center"/>
    </xf>
    <xf numFmtId="10" fontId="4" fillId="0" borderId="0" xfId="0" applyNumberFormat="1" applyFont="1" applyFill="1" applyBorder="1" applyAlignment="1" applyProtection="1">
      <alignment horizontal="center"/>
    </xf>
    <xf numFmtId="170" fontId="3" fillId="0" borderId="0" xfId="2" applyNumberFormat="1" applyFont="1" applyFill="1" applyBorder="1" applyAlignment="1">
      <alignment horizontal="center"/>
    </xf>
    <xf numFmtId="171" fontId="3" fillId="0" borderId="0" xfId="1" applyNumberFormat="1" applyFont="1" applyFill="1" applyBorder="1" applyAlignment="1">
      <alignment horizontal="center"/>
    </xf>
    <xf numFmtId="164" fontId="3" fillId="0" borderId="0" xfId="2" applyNumberFormat="1" applyFont="1" applyFill="1" applyBorder="1" applyAlignment="1">
      <alignment horizontal="center"/>
    </xf>
    <xf numFmtId="164" fontId="3" fillId="0" borderId="0" xfId="2" applyNumberFormat="1" applyFont="1" applyFill="1" applyBorder="1"/>
    <xf numFmtId="167" fontId="3" fillId="0" borderId="0" xfId="0" applyNumberFormat="1" applyFont="1" applyFill="1" applyBorder="1" applyAlignment="1">
      <alignment horizontal="center"/>
    </xf>
    <xf numFmtId="0" fontId="3" fillId="0" borderId="6" xfId="0" applyFont="1" applyFill="1" applyBorder="1" applyAlignment="1">
      <alignment horizontal="left"/>
    </xf>
    <xf numFmtId="10" fontId="4" fillId="0" borderId="7" xfId="0" applyNumberFormat="1" applyFont="1" applyFill="1" applyBorder="1" applyAlignment="1" applyProtection="1">
      <alignment horizontal="left"/>
    </xf>
    <xf numFmtId="2" fontId="4" fillId="0" borderId="0" xfId="1" applyNumberFormat="1" applyFont="1" applyFill="1" applyAlignment="1" applyProtection="1">
      <alignment horizontal="center"/>
    </xf>
    <xf numFmtId="3" fontId="3" fillId="0" borderId="0" xfId="0" applyNumberFormat="1" applyFont="1" applyFill="1" applyBorder="1"/>
    <xf numFmtId="3" fontId="8" fillId="0" borderId="0" xfId="1" applyNumberFormat="1" applyFont="1" applyFill="1" applyBorder="1" applyAlignment="1">
      <alignment horizontal="center"/>
    </xf>
    <xf numFmtId="0" fontId="3" fillId="0" borderId="8" xfId="0" applyFont="1" applyFill="1" applyBorder="1" applyAlignment="1">
      <alignment horizontal="left"/>
    </xf>
    <xf numFmtId="10" fontId="4" fillId="0" borderId="9" xfId="0" applyNumberFormat="1" applyFont="1" applyFill="1" applyBorder="1" applyAlignment="1" applyProtection="1">
      <alignment horizontal="left"/>
    </xf>
    <xf numFmtId="0" fontId="12" fillId="0" borderId="0" xfId="0" applyFont="1" applyFill="1" applyAlignment="1">
      <alignment horizontal="left"/>
    </xf>
    <xf numFmtId="3" fontId="3" fillId="0" borderId="0" xfId="0" applyNumberFormat="1" applyFont="1" applyFill="1" applyAlignment="1">
      <alignment horizontal="left"/>
    </xf>
    <xf numFmtId="4" fontId="3" fillId="0" borderId="0" xfId="0" applyNumberFormat="1" applyFont="1" applyFill="1" applyAlignment="1">
      <alignment horizontal="left"/>
    </xf>
    <xf numFmtId="169" fontId="4" fillId="0" borderId="0" xfId="0" applyNumberFormat="1" applyFont="1" applyFill="1" applyAlignment="1" applyProtection="1">
      <alignment horizontal="center"/>
    </xf>
    <xf numFmtId="7" fontId="4" fillId="0" borderId="0" xfId="0" applyNumberFormat="1" applyFont="1" applyFill="1" applyAlignment="1">
      <alignment horizontal="center"/>
    </xf>
    <xf numFmtId="4" fontId="4" fillId="0" borderId="0" xfId="0" applyNumberFormat="1" applyFont="1" applyFill="1" applyAlignment="1">
      <alignment horizontal="left"/>
    </xf>
    <xf numFmtId="3" fontId="4" fillId="0" borderId="0" xfId="0" applyNumberFormat="1" applyFont="1" applyFill="1" applyAlignment="1" applyProtection="1">
      <alignment horizontal="center"/>
    </xf>
    <xf numFmtId="3" fontId="3" fillId="0" borderId="0" xfId="0" applyNumberFormat="1" applyFont="1" applyFill="1" applyAlignment="1">
      <alignment horizontal="center"/>
    </xf>
    <xf numFmtId="7" fontId="4" fillId="0" borderId="0" xfId="0" applyNumberFormat="1" applyFont="1" applyFill="1"/>
    <xf numFmtId="4" fontId="3" fillId="0" borderId="0" xfId="0" applyNumberFormat="1" applyFont="1" applyFill="1" applyBorder="1" applyAlignment="1">
      <alignment horizontal="right" vertical="center"/>
    </xf>
    <xf numFmtId="4" fontId="3" fillId="0" borderId="0" xfId="1" applyNumberFormat="1" applyFont="1" applyFill="1" applyBorder="1" applyAlignment="1">
      <alignment horizontal="right"/>
    </xf>
    <xf numFmtId="0" fontId="4" fillId="0" borderId="0" xfId="0" applyFont="1"/>
    <xf numFmtId="169" fontId="4" fillId="0" borderId="0" xfId="0" applyNumberFormat="1" applyFont="1" applyFill="1" applyAlignment="1" applyProtection="1">
      <alignment horizontal="left"/>
    </xf>
    <xf numFmtId="7" fontId="4" fillId="0" borderId="0" xfId="0" applyNumberFormat="1" applyFont="1" applyFill="1" applyAlignment="1">
      <alignment horizontal="left"/>
    </xf>
    <xf numFmtId="168" fontId="4" fillId="0" borderId="0" xfId="3" applyNumberFormat="1" applyFont="1" applyFill="1" applyAlignment="1">
      <alignment horizontal="center"/>
    </xf>
    <xf numFmtId="165" fontId="4" fillId="3" borderId="2" xfId="0" applyNumberFormat="1" applyFont="1" applyFill="1" applyBorder="1"/>
    <xf numFmtId="173" fontId="17" fillId="0" borderId="10" xfId="0" applyNumberFormat="1" applyFont="1" applyBorder="1" applyAlignment="1">
      <alignment horizontal="center" vertical="center" wrapText="1"/>
    </xf>
    <xf numFmtId="173" fontId="17" fillId="0" borderId="10" xfId="0" applyNumberFormat="1" applyFont="1" applyFill="1" applyBorder="1" applyAlignment="1">
      <alignment horizontal="center" vertical="center" wrapText="1"/>
    </xf>
    <xf numFmtId="9" fontId="4" fillId="0" borderId="0" xfId="4" applyFont="1" applyFill="1" applyAlignment="1">
      <alignment horizontal="center"/>
    </xf>
    <xf numFmtId="0" fontId="4" fillId="0" borderId="0" xfId="14" applyFont="1" applyFill="1" applyAlignment="1">
      <alignment horizontal="center"/>
    </xf>
    <xf numFmtId="0" fontId="21" fillId="7" borderId="11" xfId="0" applyFont="1" applyFill="1" applyBorder="1" applyAlignment="1">
      <alignment horizontal="center" vertical="center" wrapText="1"/>
    </xf>
    <xf numFmtId="0" fontId="21" fillId="7" borderId="11" xfId="0" applyFont="1" applyFill="1" applyBorder="1" applyAlignment="1">
      <alignment horizontal="left" vertical="center" wrapText="1"/>
    </xf>
    <xf numFmtId="0" fontId="21" fillId="8" borderId="11" xfId="0" applyFont="1" applyFill="1" applyBorder="1" applyAlignment="1">
      <alignment horizontal="left" vertical="center" wrapText="1"/>
    </xf>
    <xf numFmtId="2" fontId="21" fillId="7" borderId="11" xfId="0" applyNumberFormat="1" applyFont="1" applyFill="1" applyBorder="1" applyAlignment="1">
      <alignment horizontal="center" vertical="center" wrapText="1"/>
    </xf>
    <xf numFmtId="169" fontId="21" fillId="7" borderId="11" xfId="0" applyNumberFormat="1" applyFont="1" applyFill="1" applyBorder="1" applyAlignment="1">
      <alignment horizontal="center" vertical="center" wrapText="1"/>
    </xf>
    <xf numFmtId="4" fontId="21" fillId="8" borderId="11" xfId="1" applyNumberFormat="1" applyFont="1" applyFill="1" applyBorder="1" applyAlignment="1">
      <alignment horizontal="center" vertical="center" wrapText="1"/>
    </xf>
    <xf numFmtId="169" fontId="21" fillId="8" borderId="11" xfId="0" applyNumberFormat="1" applyFont="1" applyFill="1" applyBorder="1" applyAlignment="1">
      <alignment horizontal="center" vertical="center" wrapText="1"/>
    </xf>
    <xf numFmtId="2" fontId="21" fillId="8" borderId="11" xfId="0" applyNumberFormat="1" applyFont="1" applyFill="1" applyBorder="1" applyAlignment="1">
      <alignment horizontal="center" vertical="center" wrapText="1"/>
    </xf>
    <xf numFmtId="0" fontId="21" fillId="2" borderId="11" xfId="0" applyFont="1" applyFill="1" applyBorder="1" applyAlignment="1">
      <alignment horizontal="center" vertical="center" wrapText="1"/>
    </xf>
    <xf numFmtId="0" fontId="21" fillId="2" borderId="11" xfId="0" applyFont="1" applyFill="1" applyBorder="1" applyAlignment="1">
      <alignment horizontal="left" vertical="center" wrapText="1"/>
    </xf>
    <xf numFmtId="169" fontId="21" fillId="2" borderId="11" xfId="0" applyNumberFormat="1" applyFont="1" applyFill="1" applyBorder="1" applyAlignment="1">
      <alignment horizontal="center" vertical="center" wrapText="1"/>
    </xf>
    <xf numFmtId="2" fontId="21" fillId="2" borderId="11" xfId="0" applyNumberFormat="1" applyFont="1" applyFill="1" applyBorder="1" applyAlignment="1">
      <alignment horizontal="center" vertical="center" wrapText="1"/>
    </xf>
    <xf numFmtId="4" fontId="21" fillId="2" borderId="11" xfId="1" applyNumberFormat="1" applyFont="1" applyFill="1" applyBorder="1" applyAlignment="1">
      <alignment horizontal="center" vertical="center" wrapText="1"/>
    </xf>
    <xf numFmtId="0" fontId="20" fillId="5" borderId="12" xfId="0" applyFont="1" applyFill="1" applyBorder="1" applyAlignment="1">
      <alignment horizontal="left" vertical="center" wrapText="1"/>
    </xf>
    <xf numFmtId="0" fontId="0" fillId="0" borderId="13" xfId="0" applyBorder="1"/>
    <xf numFmtId="0" fontId="0" fillId="0" borderId="0" xfId="0" applyBorder="1"/>
    <xf numFmtId="0" fontId="20" fillId="5" borderId="14" xfId="0" applyFont="1" applyFill="1" applyBorder="1" applyAlignment="1">
      <alignment horizontal="center" vertical="center" wrapText="1"/>
    </xf>
    <xf numFmtId="0" fontId="20" fillId="6" borderId="14" xfId="0" applyFont="1" applyFill="1" applyBorder="1" applyAlignment="1">
      <alignment horizontal="center" vertical="center" wrapText="1"/>
    </xf>
    <xf numFmtId="0" fontId="20" fillId="6" borderId="15" xfId="0" applyFont="1" applyFill="1" applyBorder="1" applyAlignment="1">
      <alignment horizontal="center" vertical="center" wrapText="1"/>
    </xf>
    <xf numFmtId="0" fontId="20" fillId="5" borderId="18"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6" borderId="18" xfId="0" applyFont="1" applyFill="1" applyBorder="1" applyAlignment="1">
      <alignment horizontal="center" vertical="center" wrapText="1"/>
    </xf>
    <xf numFmtId="0" fontId="22" fillId="0" borderId="0" xfId="0" applyFont="1"/>
    <xf numFmtId="0" fontId="23" fillId="0" borderId="0" xfId="0" applyFont="1" applyFill="1"/>
    <xf numFmtId="0" fontId="20" fillId="5" borderId="21" xfId="0" applyFont="1" applyFill="1" applyBorder="1" applyAlignment="1">
      <alignment horizontal="center" vertical="center" wrapText="1"/>
    </xf>
    <xf numFmtId="0" fontId="20" fillId="6" borderId="22" xfId="0" applyFont="1" applyFill="1" applyBorder="1" applyAlignment="1">
      <alignment horizontal="center" vertical="center" wrapText="1"/>
    </xf>
    <xf numFmtId="0" fontId="20" fillId="6" borderId="19" xfId="0" applyFont="1" applyFill="1" applyBorder="1" applyAlignment="1">
      <alignment horizontal="center" vertical="center" wrapText="1"/>
    </xf>
    <xf numFmtId="0" fontId="20" fillId="6" borderId="23" xfId="0" applyFont="1" applyFill="1" applyBorder="1" applyAlignment="1">
      <alignment horizontal="center" vertical="center" wrapText="1"/>
    </xf>
    <xf numFmtId="0" fontId="24" fillId="0" borderId="0" xfId="0" applyFont="1"/>
    <xf numFmtId="0" fontId="3" fillId="0" borderId="0" xfId="0" applyFont="1" applyFill="1" applyAlignment="1">
      <alignment horizontal="center"/>
    </xf>
    <xf numFmtId="0" fontId="25" fillId="0" borderId="11" xfId="0" applyFont="1" applyBorder="1" applyAlignment="1">
      <alignment horizontal="left" vertical="center" wrapText="1"/>
    </xf>
    <xf numFmtId="0" fontId="3" fillId="3" borderId="0" xfId="0" applyFont="1" applyFill="1" applyBorder="1" applyAlignment="1">
      <alignment horizontal="center"/>
    </xf>
    <xf numFmtId="0" fontId="21" fillId="0" borderId="11" xfId="0" applyFont="1" applyBorder="1" applyAlignment="1">
      <alignment horizontal="center" vertical="center" wrapText="1"/>
    </xf>
    <xf numFmtId="0" fontId="21" fillId="9" borderId="11" xfId="0" applyFont="1" applyFill="1" applyBorder="1" applyAlignment="1">
      <alignment horizontal="center" vertical="center" wrapText="1"/>
    </xf>
    <xf numFmtId="0" fontId="20" fillId="10" borderId="11" xfId="0" applyFont="1" applyFill="1" applyBorder="1" applyAlignment="1">
      <alignment horizontal="center" vertical="center" wrapText="1"/>
    </xf>
    <xf numFmtId="3" fontId="21" fillId="0" borderId="11" xfId="0" applyNumberFormat="1" applyFont="1" applyBorder="1" applyAlignment="1">
      <alignment horizontal="center" vertical="center" wrapText="1"/>
    </xf>
    <xf numFmtId="3" fontId="21" fillId="9" borderId="11" xfId="0" applyNumberFormat="1" applyFont="1" applyFill="1" applyBorder="1" applyAlignment="1">
      <alignment horizontal="center" vertical="center" wrapText="1"/>
    </xf>
    <xf numFmtId="4" fontId="21" fillId="0" borderId="11" xfId="0" applyNumberFormat="1" applyFont="1" applyBorder="1" applyAlignment="1">
      <alignment horizontal="center" vertical="center" wrapText="1"/>
    </xf>
    <xf numFmtId="4" fontId="21" fillId="11" borderId="11" xfId="0" applyNumberFormat="1" applyFont="1" applyFill="1" applyBorder="1" applyAlignment="1">
      <alignment horizontal="center" vertical="center" wrapText="1"/>
    </xf>
    <xf numFmtId="4" fontId="21" fillId="9" borderId="11" xfId="0" applyNumberFormat="1" applyFont="1" applyFill="1" applyBorder="1" applyAlignment="1">
      <alignment horizontal="center" vertical="center" wrapText="1"/>
    </xf>
    <xf numFmtId="167" fontId="21" fillId="0" borderId="11" xfId="0" applyNumberFormat="1" applyFont="1" applyBorder="1" applyAlignment="1">
      <alignment horizontal="center" vertical="center" wrapText="1"/>
    </xf>
    <xf numFmtId="167" fontId="21" fillId="9" borderId="11" xfId="0" applyNumberFormat="1" applyFont="1" applyFill="1" applyBorder="1" applyAlignment="1">
      <alignment horizontal="center" vertical="center" wrapText="1"/>
    </xf>
    <xf numFmtId="169" fontId="20" fillId="10" borderId="11" xfId="0" applyNumberFormat="1" applyFont="1" applyFill="1" applyBorder="1" applyAlignment="1">
      <alignment horizontal="center" vertical="center" wrapText="1"/>
    </xf>
    <xf numFmtId="4" fontId="20" fillId="10" borderId="11" xfId="0" applyNumberFormat="1" applyFont="1" applyFill="1" applyBorder="1" applyAlignment="1">
      <alignment horizontal="center" vertical="center" wrapText="1"/>
    </xf>
    <xf numFmtId="169" fontId="21" fillId="0" borderId="11" xfId="0" applyNumberFormat="1" applyFont="1" applyBorder="1" applyAlignment="1">
      <alignment horizontal="center" vertical="center" wrapText="1"/>
    </xf>
    <xf numFmtId="169" fontId="21" fillId="9" borderId="11" xfId="0" applyNumberFormat="1" applyFont="1" applyFill="1" applyBorder="1" applyAlignment="1">
      <alignment horizontal="center" vertical="center" wrapText="1"/>
    </xf>
    <xf numFmtId="169" fontId="12" fillId="0" borderId="0" xfId="5" applyNumberFormat="1" applyFont="1" applyAlignment="1">
      <alignment horizontal="center" vertical="center" wrapText="1"/>
    </xf>
    <xf numFmtId="3" fontId="21" fillId="11" borderId="11" xfId="0" applyNumberFormat="1" applyFont="1" applyFill="1" applyBorder="1" applyAlignment="1">
      <alignment horizontal="center" vertical="center" wrapText="1"/>
    </xf>
    <xf numFmtId="3" fontId="20" fillId="10" borderId="11" xfId="0" applyNumberFormat="1" applyFont="1" applyFill="1" applyBorder="1" applyAlignment="1">
      <alignment horizontal="center" vertical="center" wrapText="1"/>
    </xf>
    <xf numFmtId="174" fontId="20" fillId="10" borderId="11" xfId="0" applyNumberFormat="1" applyFont="1" applyFill="1" applyBorder="1" applyAlignment="1">
      <alignment horizontal="center" vertical="center" wrapText="1"/>
    </xf>
    <xf numFmtId="169" fontId="21" fillId="11" borderId="11" xfId="0" applyNumberFormat="1" applyFont="1" applyFill="1" applyBorder="1" applyAlignment="1">
      <alignment horizontal="center" vertical="center" wrapText="1"/>
    </xf>
    <xf numFmtId="175" fontId="21" fillId="0" borderId="11" xfId="0" applyNumberFormat="1" applyFont="1" applyBorder="1" applyAlignment="1">
      <alignment horizontal="center" vertical="center" wrapText="1"/>
    </xf>
    <xf numFmtId="175" fontId="21" fillId="9" borderId="11" xfId="0" applyNumberFormat="1" applyFont="1" applyFill="1" applyBorder="1" applyAlignment="1">
      <alignment horizontal="center" vertical="center" wrapText="1"/>
    </xf>
    <xf numFmtId="175" fontId="20" fillId="10" borderId="11" xfId="0" applyNumberFormat="1" applyFont="1" applyFill="1" applyBorder="1" applyAlignment="1">
      <alignment horizontal="center" vertical="center" wrapText="1"/>
    </xf>
    <xf numFmtId="176" fontId="20" fillId="10" borderId="11" xfId="0" applyNumberFormat="1" applyFont="1" applyFill="1" applyBorder="1" applyAlignment="1">
      <alignment horizontal="center" vertical="center" wrapText="1"/>
    </xf>
    <xf numFmtId="174" fontId="20" fillId="10" borderId="30" xfId="0" applyNumberFormat="1" applyFont="1" applyFill="1" applyBorder="1" applyAlignment="1">
      <alignment horizontal="center" vertical="center" wrapText="1"/>
    </xf>
    <xf numFmtId="2" fontId="20" fillId="10" borderId="30" xfId="0" applyNumberFormat="1" applyFont="1" applyFill="1" applyBorder="1" applyAlignment="1">
      <alignment horizontal="center" vertical="center" wrapText="1"/>
    </xf>
    <xf numFmtId="0" fontId="29" fillId="4" borderId="0" xfId="0" applyFont="1" applyFill="1" applyAlignment="1">
      <alignment vertical="center"/>
    </xf>
    <xf numFmtId="0" fontId="30" fillId="5" borderId="32" xfId="0" applyFont="1" applyFill="1" applyBorder="1" applyAlignment="1">
      <alignment horizontal="center" vertical="center" wrapText="1"/>
    </xf>
    <xf numFmtId="0" fontId="25" fillId="0" borderId="34" xfId="0" applyFont="1" applyBorder="1" applyAlignment="1">
      <alignment horizontal="left" vertical="center" wrapText="1"/>
    </xf>
    <xf numFmtId="0" fontId="27" fillId="0" borderId="0" xfId="0" applyFont="1" applyBorder="1" applyAlignment="1">
      <alignment horizontal="left" vertical="center" wrapText="1"/>
    </xf>
    <xf numFmtId="0" fontId="29" fillId="4" borderId="33" xfId="0" applyFont="1" applyFill="1" applyBorder="1" applyAlignment="1">
      <alignment vertical="center"/>
    </xf>
    <xf numFmtId="0" fontId="20" fillId="5" borderId="28" xfId="0" applyFont="1" applyFill="1" applyBorder="1" applyAlignment="1">
      <alignment vertical="center" wrapText="1"/>
    </xf>
    <xf numFmtId="0" fontId="20" fillId="5" borderId="29" xfId="0" applyFont="1" applyFill="1" applyBorder="1" applyAlignment="1">
      <alignment vertical="center" wrapText="1"/>
    </xf>
    <xf numFmtId="169" fontId="21" fillId="12" borderId="11" xfId="0" applyNumberFormat="1" applyFont="1" applyFill="1" applyBorder="1" applyAlignment="1">
      <alignment horizontal="center" vertical="center" wrapText="1"/>
    </xf>
    <xf numFmtId="3" fontId="21" fillId="12" borderId="11" xfId="0" applyNumberFormat="1" applyFont="1" applyFill="1" applyBorder="1" applyAlignment="1">
      <alignment horizontal="center" vertical="center" wrapText="1"/>
    </xf>
    <xf numFmtId="4" fontId="21" fillId="12" borderId="11" xfId="0" applyNumberFormat="1" applyFont="1" applyFill="1" applyBorder="1" applyAlignment="1">
      <alignment horizontal="center" vertical="center" wrapText="1"/>
    </xf>
    <xf numFmtId="0" fontId="31" fillId="13" borderId="37" xfId="0" applyFont="1" applyFill="1" applyBorder="1" applyAlignment="1">
      <alignment horizontal="center" vertical="center" wrapText="1"/>
    </xf>
    <xf numFmtId="0" fontId="31" fillId="13" borderId="37" xfId="0" applyFont="1" applyFill="1" applyBorder="1" applyAlignment="1">
      <alignment horizontal="left" vertical="center" wrapText="1"/>
    </xf>
    <xf numFmtId="0" fontId="32" fillId="0" borderId="0" xfId="0" applyFont="1" applyAlignment="1">
      <alignment horizontal="left" vertical="center"/>
    </xf>
    <xf numFmtId="0" fontId="33" fillId="0" borderId="37" xfId="0" applyFont="1" applyBorder="1" applyAlignment="1">
      <alignment horizontal="left" wrapText="1"/>
    </xf>
    <xf numFmtId="0" fontId="33" fillId="0" borderId="37" xfId="0" applyFont="1" applyBorder="1" applyAlignment="1">
      <alignment vertical="center" wrapText="1"/>
    </xf>
    <xf numFmtId="0" fontId="33" fillId="14" borderId="37" xfId="0" applyFont="1" applyFill="1" applyBorder="1" applyAlignment="1">
      <alignment wrapText="1"/>
    </xf>
    <xf numFmtId="0" fontId="33" fillId="14" borderId="37" xfId="0" applyFont="1" applyFill="1" applyBorder="1" applyAlignment="1">
      <alignment vertical="center" wrapText="1"/>
    </xf>
    <xf numFmtId="0" fontId="32" fillId="14" borderId="37" xfId="0" applyFont="1" applyFill="1" applyBorder="1" applyAlignment="1">
      <alignment vertical="center" wrapText="1"/>
    </xf>
    <xf numFmtId="0" fontId="33" fillId="14" borderId="37" xfId="0" applyFont="1" applyFill="1" applyBorder="1" applyAlignment="1">
      <alignment horizontal="left" vertical="center" wrapText="1"/>
    </xf>
    <xf numFmtId="0" fontId="32" fillId="0" borderId="0" xfId="0" applyFont="1" applyAlignment="1">
      <alignment horizontal="left"/>
    </xf>
    <xf numFmtId="0" fontId="33" fillId="0" borderId="0" xfId="0" applyFont="1" applyAlignment="1">
      <alignment horizontal="left" vertical="center"/>
    </xf>
    <xf numFmtId="0" fontId="33" fillId="0" borderId="0" xfId="0" applyFont="1" applyAlignment="1">
      <alignment vertical="center"/>
    </xf>
    <xf numFmtId="0" fontId="34" fillId="0" borderId="0" xfId="0" applyFont="1" applyAlignment="1">
      <alignment horizontal="left" vertical="center"/>
    </xf>
    <xf numFmtId="2" fontId="33" fillId="14" borderId="37" xfId="0" applyNumberFormat="1" applyFont="1" applyFill="1" applyBorder="1" applyAlignment="1">
      <alignment horizontal="center" vertical="center" wrapText="1"/>
    </xf>
    <xf numFmtId="169" fontId="33" fillId="14" borderId="37" xfId="0" applyNumberFormat="1" applyFont="1" applyFill="1" applyBorder="1" applyAlignment="1">
      <alignment horizontal="center" vertical="center" wrapText="1"/>
    </xf>
    <xf numFmtId="0" fontId="4" fillId="0" borderId="0" xfId="0" applyFont="1" applyFill="1" applyBorder="1" applyAlignment="1">
      <alignment horizontal="right"/>
    </xf>
    <xf numFmtId="0" fontId="12" fillId="0" borderId="0" xfId="0" applyFont="1" applyFill="1" applyBorder="1"/>
    <xf numFmtId="0" fontId="36" fillId="0" borderId="0" xfId="0" applyFont="1" applyFill="1"/>
    <xf numFmtId="0" fontId="12" fillId="0" borderId="0" xfId="0" applyFont="1" applyFill="1" applyBorder="1" applyAlignment="1">
      <alignment horizontal="right"/>
    </xf>
    <xf numFmtId="0" fontId="37" fillId="0" borderId="0" xfId="0" applyFont="1" applyFill="1" applyBorder="1" applyAlignment="1">
      <alignment horizontal="left"/>
    </xf>
    <xf numFmtId="0" fontId="4" fillId="0" borderId="0" xfId="0" applyFont="1" applyFill="1" applyAlignment="1">
      <alignment horizontal="right"/>
    </xf>
    <xf numFmtId="0" fontId="32" fillId="0" borderId="0" xfId="0" applyFont="1" applyBorder="1" applyAlignment="1">
      <alignment horizontal="left"/>
    </xf>
    <xf numFmtId="2" fontId="33" fillId="0" borderId="37" xfId="0" applyNumberFormat="1" applyFont="1" applyFill="1" applyBorder="1" applyAlignment="1">
      <alignment horizontal="center" vertical="center" wrapText="1"/>
    </xf>
    <xf numFmtId="2" fontId="33" fillId="0" borderId="0" xfId="0" applyNumberFormat="1" applyFont="1" applyBorder="1" applyAlignment="1">
      <alignment horizontal="left" vertical="center" wrapText="1"/>
    </xf>
    <xf numFmtId="169" fontId="33" fillId="0" borderId="0" xfId="0" applyNumberFormat="1" applyFont="1" applyFill="1" applyBorder="1" applyAlignment="1">
      <alignment horizontal="center" vertical="center" wrapText="1"/>
    </xf>
    <xf numFmtId="2" fontId="33" fillId="0" borderId="0" xfId="0" applyNumberFormat="1" applyFont="1" applyFill="1" applyBorder="1" applyAlignment="1">
      <alignment horizontal="center" vertical="center" wrapText="1"/>
    </xf>
    <xf numFmtId="174" fontId="33" fillId="0" borderId="37" xfId="2" applyNumberFormat="1" applyFont="1" applyBorder="1" applyAlignment="1">
      <alignment horizontal="left" vertical="center" wrapText="1"/>
    </xf>
    <xf numFmtId="174" fontId="33" fillId="0" borderId="37" xfId="0" applyNumberFormat="1" applyFont="1" applyFill="1" applyBorder="1" applyAlignment="1">
      <alignment horizontal="center" vertical="center" wrapText="1"/>
    </xf>
    <xf numFmtId="0" fontId="29" fillId="2" borderId="0" xfId="0" applyFont="1" applyFill="1" applyAlignment="1">
      <alignment vertical="center"/>
    </xf>
    <xf numFmtId="10" fontId="21" fillId="0" borderId="11" xfId="4" applyNumberFormat="1" applyFont="1" applyBorder="1" applyAlignment="1">
      <alignment horizontal="center" vertical="center" wrapText="1"/>
    </xf>
    <xf numFmtId="10" fontId="21" fillId="9" borderId="11" xfId="4" applyNumberFormat="1" applyFont="1" applyFill="1" applyBorder="1" applyAlignment="1">
      <alignment horizontal="center" vertical="center" wrapText="1"/>
    </xf>
    <xf numFmtId="10" fontId="20" fillId="5" borderId="29" xfId="4" applyNumberFormat="1" applyFont="1" applyFill="1" applyBorder="1" applyAlignment="1">
      <alignment vertical="center" wrapText="1"/>
    </xf>
    <xf numFmtId="0" fontId="27" fillId="0" borderId="35" xfId="0" applyFont="1" applyBorder="1" applyAlignment="1">
      <alignment vertical="center" wrapText="1"/>
    </xf>
    <xf numFmtId="0" fontId="27" fillId="0" borderId="36" xfId="0" applyFont="1" applyBorder="1" applyAlignment="1">
      <alignment vertical="center" wrapText="1"/>
    </xf>
    <xf numFmtId="0" fontId="26" fillId="0" borderId="11" xfId="0" applyFont="1" applyBorder="1" applyAlignment="1">
      <alignment vertical="center" wrapText="1"/>
    </xf>
    <xf numFmtId="169" fontId="4" fillId="0" borderId="0" xfId="2" applyNumberFormat="1" applyFont="1" applyFill="1" applyAlignment="1">
      <alignment horizontal="left"/>
    </xf>
    <xf numFmtId="169" fontId="4" fillId="0" borderId="0" xfId="0" applyNumberFormat="1" applyFont="1" applyFill="1" applyAlignment="1">
      <alignment horizontal="left"/>
    </xf>
    <xf numFmtId="0" fontId="28" fillId="11" borderId="31" xfId="0" applyFont="1" applyFill="1" applyBorder="1" applyAlignment="1">
      <alignment horizontal="center" vertical="center" wrapText="1"/>
    </xf>
    <xf numFmtId="0" fontId="28" fillId="11" borderId="24" xfId="0" applyFont="1" applyFill="1" applyBorder="1" applyAlignment="1">
      <alignment horizontal="center" vertical="center" wrapText="1"/>
    </xf>
    <xf numFmtId="0" fontId="20" fillId="5" borderId="24" xfId="0" applyFont="1" applyFill="1" applyBorder="1" applyAlignment="1">
      <alignment horizontal="center" vertical="center" wrapText="1"/>
    </xf>
    <xf numFmtId="0" fontId="20" fillId="5" borderId="25" xfId="0" applyFont="1" applyFill="1" applyBorder="1" applyAlignment="1">
      <alignment horizontal="center" vertical="center" wrapText="1"/>
    </xf>
    <xf numFmtId="0" fontId="20" fillId="5" borderId="31" xfId="0" applyFont="1" applyFill="1" applyBorder="1" applyAlignment="1">
      <alignment horizontal="center" vertical="center" wrapText="1"/>
    </xf>
    <xf numFmtId="0" fontId="20" fillId="5" borderId="0" xfId="0" applyFont="1" applyFill="1" applyBorder="1" applyAlignment="1">
      <alignment horizontal="center" vertical="center" wrapText="1"/>
    </xf>
    <xf numFmtId="0" fontId="20" fillId="5" borderId="39" xfId="0" applyFont="1" applyFill="1" applyBorder="1" applyAlignment="1">
      <alignment horizontal="center" vertical="center" wrapText="1"/>
    </xf>
    <xf numFmtId="0" fontId="20" fillId="5" borderId="26" xfId="0" applyFont="1" applyFill="1" applyBorder="1" applyAlignment="1">
      <alignment horizontal="center" vertical="center" wrapText="1"/>
    </xf>
    <xf numFmtId="0" fontId="20" fillId="5" borderId="27" xfId="0" applyFont="1" applyFill="1" applyBorder="1" applyAlignment="1">
      <alignment horizontal="center" vertical="center" wrapText="1"/>
    </xf>
    <xf numFmtId="0" fontId="20" fillId="5" borderId="41" xfId="0" applyFont="1" applyFill="1" applyBorder="1" applyAlignment="1">
      <alignment horizontal="center" vertical="center" wrapText="1"/>
    </xf>
    <xf numFmtId="0" fontId="26" fillId="0" borderId="45" xfId="0" applyFont="1" applyBorder="1" applyAlignment="1">
      <alignment horizontal="center" vertical="center" wrapText="1"/>
    </xf>
    <xf numFmtId="0" fontId="26" fillId="0" borderId="46" xfId="0" applyFont="1" applyBorder="1" applyAlignment="1">
      <alignment horizontal="center" vertical="center" wrapText="1"/>
    </xf>
    <xf numFmtId="0" fontId="26" fillId="0" borderId="47" xfId="0" applyFont="1" applyBorder="1" applyAlignment="1">
      <alignment horizontal="center" vertical="center" wrapText="1"/>
    </xf>
    <xf numFmtId="0" fontId="26" fillId="0" borderId="34" xfId="0" applyFont="1" applyBorder="1" applyAlignment="1">
      <alignment horizontal="center" vertical="center" wrapText="1"/>
    </xf>
    <xf numFmtId="0" fontId="26" fillId="0" borderId="42" xfId="0" applyFont="1" applyBorder="1" applyAlignment="1">
      <alignment horizontal="center" vertical="center" wrapText="1"/>
    </xf>
    <xf numFmtId="0" fontId="26" fillId="0" borderId="40" xfId="0" applyFont="1" applyBorder="1" applyAlignment="1">
      <alignment horizontal="center" vertical="center" wrapText="1"/>
    </xf>
    <xf numFmtId="0" fontId="26" fillId="0" borderId="43" xfId="0" applyFont="1" applyBorder="1" applyAlignment="1">
      <alignment horizontal="center" vertical="center" wrapText="1"/>
    </xf>
    <xf numFmtId="0" fontId="33" fillId="0" borderId="38" xfId="0" applyFont="1" applyBorder="1" applyAlignment="1">
      <alignment horizontal="center" wrapText="1"/>
    </xf>
    <xf numFmtId="0" fontId="3" fillId="0" borderId="0" xfId="3" applyFont="1" applyFill="1" applyAlignment="1">
      <alignment horizontal="center"/>
    </xf>
    <xf numFmtId="0" fontId="18" fillId="5" borderId="20" xfId="0" applyFont="1" applyFill="1" applyBorder="1" applyAlignment="1">
      <alignment horizontal="center" vertical="center" wrapText="1"/>
    </xf>
    <xf numFmtId="0" fontId="18" fillId="5" borderId="16" xfId="0" applyFont="1" applyFill="1" applyBorder="1" applyAlignment="1">
      <alignment horizontal="center" vertical="center" wrapText="1"/>
    </xf>
    <xf numFmtId="0" fontId="18" fillId="5" borderId="17" xfId="0" applyFont="1" applyFill="1" applyBorder="1" applyAlignment="1">
      <alignment horizontal="center" vertical="center" wrapText="1"/>
    </xf>
    <xf numFmtId="0" fontId="19" fillId="6" borderId="20" xfId="0" applyFont="1" applyFill="1" applyBorder="1" applyAlignment="1">
      <alignment horizontal="center"/>
    </xf>
    <xf numFmtId="0" fontId="19" fillId="6" borderId="16" xfId="0" applyFont="1" applyFill="1" applyBorder="1" applyAlignment="1">
      <alignment horizontal="center"/>
    </xf>
    <xf numFmtId="0" fontId="19" fillId="6" borderId="17" xfId="0" applyFont="1" applyFill="1" applyBorder="1" applyAlignment="1">
      <alignment horizontal="center"/>
    </xf>
    <xf numFmtId="0" fontId="0" fillId="0" borderId="0" xfId="0" applyAlignment="1">
      <alignment horizontal="center"/>
    </xf>
    <xf numFmtId="0" fontId="3" fillId="0" borderId="33" xfId="0" applyFont="1" applyFill="1" applyBorder="1" applyAlignment="1">
      <alignment horizontal="center"/>
    </xf>
    <xf numFmtId="0" fontId="3" fillId="3" borderId="24" xfId="0" applyFont="1" applyFill="1" applyBorder="1" applyAlignment="1">
      <alignment horizontal="center"/>
    </xf>
    <xf numFmtId="0" fontId="4" fillId="15" borderId="0" xfId="0" applyFont="1" applyFill="1" applyBorder="1"/>
    <xf numFmtId="0" fontId="39" fillId="15" borderId="44" xfId="0" applyFont="1" applyFill="1" applyBorder="1" applyAlignment="1">
      <alignment vertical="center"/>
    </xf>
  </cellXfs>
  <cellStyles count="21">
    <cellStyle name="Comma" xfId="1" builtinId="3"/>
    <cellStyle name="Comma 2" xfId="6" xr:uid="{00000000-0005-0000-0000-000001000000}"/>
    <cellStyle name="Comma 3" xfId="10" xr:uid="{00000000-0005-0000-0000-000002000000}"/>
    <cellStyle name="Comma 4" xfId="12" xr:uid="{00000000-0005-0000-0000-000003000000}"/>
    <cellStyle name="Currency" xfId="2" builtinId="4"/>
    <cellStyle name="Currency 2" xfId="7" xr:uid="{00000000-0005-0000-0000-000005000000}"/>
    <cellStyle name="Currency 3" xfId="11" xr:uid="{00000000-0005-0000-0000-000006000000}"/>
    <cellStyle name="Currency 4" xfId="13" xr:uid="{00000000-0005-0000-0000-000007000000}"/>
    <cellStyle name="Normal" xfId="0" builtinId="0"/>
    <cellStyle name="Normal 2" xfId="8" xr:uid="{00000000-0005-0000-0000-000009000000}"/>
    <cellStyle name="Normal 3" xfId="5" xr:uid="{00000000-0005-0000-0000-00000A000000}"/>
    <cellStyle name="Normal 4" xfId="9" xr:uid="{00000000-0005-0000-0000-00000B000000}"/>
    <cellStyle name="Normal 5" xfId="16" xr:uid="{00000000-0005-0000-0000-00000C000000}"/>
    <cellStyle name="Normal 6" xfId="17" xr:uid="{00000000-0005-0000-0000-00000D000000}"/>
    <cellStyle name="Normal 7" xfId="18" xr:uid="{00000000-0005-0000-0000-00000E000000}"/>
    <cellStyle name="Normal 8" xfId="19" xr:uid="{00000000-0005-0000-0000-00000F000000}"/>
    <cellStyle name="Normal 9" xfId="20" xr:uid="{00000000-0005-0000-0000-000010000000}"/>
    <cellStyle name="Normal_Copy of Avoided Cost adjusted Final" xfId="3" xr:uid="{00000000-0005-0000-0000-000011000000}"/>
    <cellStyle name="Normal_Copy of Avoided Cost adjusted Final 2" xfId="14" xr:uid="{00000000-0005-0000-0000-000012000000}"/>
    <cellStyle name="Percent" xfId="4" builtinId="5"/>
    <cellStyle name="Percent 2" xfId="15" xr:uid="{00000000-0005-0000-0000-000014000000}"/>
  </cellStyles>
  <dxfs count="0"/>
  <tableStyles count="0" defaultTableStyle="TableStyleMedium9" defaultPivotStyle="PivotStyleLight16"/>
  <colors>
    <mruColors>
      <color rgb="FFA1C064"/>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ept\Rates\Laron%20T\WA%20CPI\Tools_103006\Comml_Measures_CN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ept\Rates\Laron%20T\WA%20CPI\Tools_103006\DaveB\loadprofile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allison.spector\Local%20Settings\Temporary%20Internet%20Files\OLKE1\Cost%20Effectiveness%20calculation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allison.spector\Local%20Settings\Temporary%20Internet%20Files\OLKE1\misc%20not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s"/>
      <sheetName val="Summary"/>
      <sheetName val="Results"/>
      <sheetName val="ECMs"/>
      <sheetName val="Applicability"/>
      <sheetName val="AppFuelSat"/>
      <sheetName val="Penetration"/>
      <sheetName val="TechPopRat"/>
      <sheetName val="AchievePopRat"/>
      <sheetName val="MeasElecSavings"/>
      <sheetName val="MeasGasSavings"/>
      <sheetName val="MeasureCost"/>
      <sheetName val="O_M"/>
      <sheetName val="SmOffice"/>
      <sheetName val="LgOffice"/>
      <sheetName val="Restaurant"/>
      <sheetName val="Retail"/>
      <sheetName val="Grocery"/>
      <sheetName val="School"/>
      <sheetName val="Warehouse"/>
      <sheetName val="College"/>
      <sheetName val="Hospital"/>
      <sheetName val="OtherHealth"/>
      <sheetName val="Lodging"/>
      <sheetName val="Other"/>
      <sheetName val="Characteristics"/>
      <sheetName val="Population"/>
      <sheetName val="EUIS"/>
      <sheetName val="Constants"/>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refreshError="1"/>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5">
          <cell r="A5">
            <v>5.1742837700707422E-2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ad Profiles"/>
      <sheetName val="loadprofiles"/>
    </sheetNames>
    <sheetDataSet>
      <sheetData sheetId="0">
        <row r="2">
          <cell r="G2" t="str">
            <v>Index</v>
          </cell>
          <cell r="H2" t="str">
            <v>FLAT</v>
          </cell>
          <cell r="I2" t="str">
            <v>ExLgOffGasHt</v>
          </cell>
          <cell r="J2" t="str">
            <v>NewCommLight</v>
          </cell>
          <cell r="K2" t="str">
            <v>Off Peak</v>
          </cell>
          <cell r="M2" t="str">
            <v>ResDHW</v>
          </cell>
          <cell r="N2" t="str">
            <v>ResSpHtHPZ1</v>
          </cell>
          <cell r="O2" t="str">
            <v>ResSH</v>
          </cell>
          <cell r="P2" t="str">
            <v>SmComWX</v>
          </cell>
          <cell r="Q2" t="str">
            <v>SolarDHWZ3W</v>
          </cell>
          <cell r="Y2" t="str">
            <v>Gas Load Profile</v>
          </cell>
        </row>
        <row r="3">
          <cell r="A3" t="str">
            <v>Flat</v>
          </cell>
          <cell r="B3">
            <v>1.1763812993321188E-4</v>
          </cell>
          <cell r="C3">
            <v>1.1763812993321188E-4</v>
          </cell>
          <cell r="D3">
            <v>2</v>
          </cell>
          <cell r="G3" t="str">
            <v>Index</v>
          </cell>
          <cell r="H3" t="str">
            <v>Flat</v>
          </cell>
          <cell r="I3" t="str">
            <v>HVAC</v>
          </cell>
          <cell r="J3" t="str">
            <v>On Peak</v>
          </cell>
          <cell r="K3" t="str">
            <v>Off Peak</v>
          </cell>
          <cell r="L3" t="str">
            <v>Res Cooling</v>
          </cell>
          <cell r="M3" t="str">
            <v>Res DHW</v>
          </cell>
          <cell r="N3" t="str">
            <v>Res HP</v>
          </cell>
          <cell r="O3" t="str">
            <v>ResSH</v>
          </cell>
          <cell r="P3" t="str">
            <v>Shell Wx</v>
          </cell>
          <cell r="Q3" t="str">
            <v>Solar DHW</v>
          </cell>
          <cell r="Y3" t="str">
            <v>Load Profile</v>
          </cell>
          <cell r="Z3" t="str">
            <v>Capacity Factor</v>
          </cell>
          <cell r="AB3">
            <v>2004</v>
          </cell>
          <cell r="AC3">
            <v>0</v>
          </cell>
        </row>
        <row r="4">
          <cell r="A4" t="str">
            <v>HVAC</v>
          </cell>
          <cell r="B4">
            <v>2.4798087477391641E-4</v>
          </cell>
          <cell r="C4">
            <v>2.1597075847529313E-4</v>
          </cell>
          <cell r="D4">
            <v>3</v>
          </cell>
          <cell r="G4">
            <v>1</v>
          </cell>
          <cell r="H4">
            <v>4.5200742747461393E-2</v>
          </cell>
          <cell r="I4">
            <v>5.0832409242958218E-2</v>
          </cell>
          <cell r="J4">
            <v>6.2898578839727964E-2</v>
          </cell>
          <cell r="K4">
            <v>3.233352402940598E-2</v>
          </cell>
          <cell r="L4">
            <v>6.418585588333206E-2</v>
          </cell>
          <cell r="M4">
            <v>5.3929403121569665E-2</v>
          </cell>
          <cell r="N4">
            <v>5.4783675154386841E-2</v>
          </cell>
          <cell r="O4">
            <v>5.1223986971486765E-2</v>
          </cell>
          <cell r="P4">
            <v>4.6085668233944374E-2</v>
          </cell>
          <cell r="Q4">
            <v>5.6024259880257429E-2</v>
          </cell>
          <cell r="Y4" t="str">
            <v>Existing Process</v>
          </cell>
          <cell r="Z4">
            <v>1</v>
          </cell>
          <cell r="AB4">
            <v>2005</v>
          </cell>
          <cell r="AC4">
            <v>1</v>
          </cell>
          <cell r="AD4">
            <v>4.2938147835148658E-3</v>
          </cell>
          <cell r="AE4">
            <v>0.67198576340909832</v>
          </cell>
        </row>
        <row r="5">
          <cell r="A5" t="str">
            <v>On Peak</v>
          </cell>
          <cell r="B5">
            <v>1.369382746367748E-4</v>
          </cell>
          <cell r="C5">
            <v>1.7969293569575331E-4</v>
          </cell>
          <cell r="D5">
            <v>4</v>
          </cell>
          <cell r="G5">
            <v>2</v>
          </cell>
          <cell r="H5">
            <v>9.2800359841590435E-2</v>
          </cell>
          <cell r="I5">
            <v>0.10561538324464102</v>
          </cell>
          <cell r="J5">
            <v>0.13009902431398201</v>
          </cell>
          <cell r="K5">
            <v>6.4526667453299658E-2</v>
          </cell>
          <cell r="L5">
            <v>0.14294269433272935</v>
          </cell>
          <cell r="M5">
            <v>0.1080724123252276</v>
          </cell>
          <cell r="N5">
            <v>0.11274004765260676</v>
          </cell>
          <cell r="O5">
            <v>0.1036505579241048</v>
          </cell>
          <cell r="P5">
            <v>9.2728877179108299E-2</v>
          </cell>
          <cell r="Q5">
            <v>0.1212450513222444</v>
          </cell>
          <cell r="Y5" t="str">
            <v>Existing Space Heat</v>
          </cell>
          <cell r="Z5">
            <v>0.1429</v>
          </cell>
          <cell r="AB5">
            <v>2006</v>
          </cell>
          <cell r="AC5">
            <v>2</v>
          </cell>
          <cell r="AD5">
            <v>8.4625670005195885E-3</v>
          </cell>
          <cell r="AE5">
            <v>1.2925750169972638</v>
          </cell>
        </row>
        <row r="6">
          <cell r="A6" t="str">
            <v>Off Peak</v>
          </cell>
          <cell r="B6">
            <v>0</v>
          </cell>
          <cell r="C6">
            <v>0</v>
          </cell>
          <cell r="D6">
            <v>5</v>
          </cell>
          <cell r="G6">
            <v>3</v>
          </cell>
          <cell r="H6">
            <v>0.14039997693571948</v>
          </cell>
          <cell r="I6">
            <v>0.16039835724632384</v>
          </cell>
          <cell r="J6">
            <v>0.19729946978823609</v>
          </cell>
          <cell r="K6">
            <v>9.6719810877193335E-2</v>
          </cell>
          <cell r="L6">
            <v>0.22169953278212665</v>
          </cell>
          <cell r="M6">
            <v>0.16221542152888554</v>
          </cell>
          <cell r="N6">
            <v>0.17069642015082667</v>
          </cell>
          <cell r="O6">
            <v>0.15607712887672281</v>
          </cell>
          <cell r="P6">
            <v>0.13937208612427221</v>
          </cell>
          <cell r="Q6">
            <v>0.18646584276423139</v>
          </cell>
          <cell r="Y6" t="str">
            <v>New Process</v>
          </cell>
          <cell r="Z6">
            <v>1</v>
          </cell>
          <cell r="AB6">
            <v>2007</v>
          </cell>
          <cell r="AC6">
            <v>3</v>
          </cell>
          <cell r="AD6">
            <v>1.2509899250038739E-2</v>
          </cell>
          <cell r="AE6">
            <v>1.8659192012449919</v>
          </cell>
        </row>
        <row r="7">
          <cell r="A7" t="str">
            <v>Res Cooling</v>
          </cell>
          <cell r="B7">
            <v>0</v>
          </cell>
          <cell r="C7">
            <v>4.560719657729473E-4</v>
          </cell>
          <cell r="D7">
            <v>6</v>
          </cell>
          <cell r="G7">
            <v>4</v>
          </cell>
          <cell r="H7">
            <v>0.18799959402984853</v>
          </cell>
          <cell r="I7">
            <v>0.21518133124800665</v>
          </cell>
          <cell r="J7">
            <v>0.26449991526249017</v>
          </cell>
          <cell r="K7">
            <v>0.12891295430108701</v>
          </cell>
          <cell r="L7">
            <v>0.30045637123152391</v>
          </cell>
          <cell r="M7">
            <v>0.21635843073254349</v>
          </cell>
          <cell r="N7">
            <v>0.22865279264904659</v>
          </cell>
          <cell r="O7">
            <v>0.20850369982934083</v>
          </cell>
          <cell r="P7">
            <v>0.18601529506943615</v>
          </cell>
          <cell r="Q7">
            <v>0.2516866342062184</v>
          </cell>
          <cell r="Y7" t="str">
            <v>New Space Heat</v>
          </cell>
          <cell r="Z7">
            <v>0.13800000000000001</v>
          </cell>
          <cell r="AB7">
            <v>2008</v>
          </cell>
          <cell r="AC7">
            <v>4</v>
          </cell>
          <cell r="AD7">
            <v>1.643934803597966E-2</v>
          </cell>
          <cell r="AE7">
            <v>2.3958274323329798</v>
          </cell>
        </row>
        <row r="8">
          <cell r="A8" t="str">
            <v>Res DHW</v>
          </cell>
          <cell r="B8">
            <v>1.4471686532932781E-4</v>
          </cell>
          <cell r="C8">
            <v>1.2120037471331203E-4</v>
          </cell>
          <cell r="D8">
            <v>7</v>
          </cell>
          <cell r="G8">
            <v>5</v>
          </cell>
          <cell r="H8">
            <v>0.23559921112397758</v>
          </cell>
          <cell r="I8">
            <v>0.26996430524968945</v>
          </cell>
          <cell r="J8">
            <v>0.33170036073674425</v>
          </cell>
          <cell r="K8">
            <v>0.16110609772498069</v>
          </cell>
          <cell r="L8">
            <v>0.3792132096809212</v>
          </cell>
          <cell r="M8">
            <v>0.27050143993620146</v>
          </cell>
          <cell r="N8">
            <v>0.28660916514726653</v>
          </cell>
          <cell r="O8">
            <v>0.26093027078195885</v>
          </cell>
          <cell r="P8">
            <v>0.23265850401460009</v>
          </cell>
          <cell r="Q8">
            <v>0.3169074256482054</v>
          </cell>
          <cell r="Y8" t="str">
            <v>None</v>
          </cell>
          <cell r="Z8">
            <v>0</v>
          </cell>
          <cell r="AB8">
            <v>2009</v>
          </cell>
          <cell r="AC8">
            <v>5</v>
          </cell>
          <cell r="AD8">
            <v>2.0254346857281526E-2</v>
          </cell>
          <cell r="AE8">
            <v>2.885794940481158</v>
          </cell>
        </row>
        <row r="9">
          <cell r="A9" t="str">
            <v>Res HP</v>
          </cell>
          <cell r="B9">
            <v>1.6717097771270541E-4</v>
          </cell>
          <cell r="C9">
            <v>4.1906621115991547E-5</v>
          </cell>
          <cell r="D9">
            <v>8</v>
          </cell>
          <cell r="G9">
            <v>6</v>
          </cell>
          <cell r="H9">
            <v>0.2831988282181066</v>
          </cell>
          <cell r="I9">
            <v>0.32474727925137226</v>
          </cell>
          <cell r="J9">
            <v>0.39890080621099833</v>
          </cell>
          <cell r="K9">
            <v>0.19329924114887437</v>
          </cell>
          <cell r="L9">
            <v>0.4579700481303185</v>
          </cell>
          <cell r="M9">
            <v>0.3246444491398594</v>
          </cell>
          <cell r="N9">
            <v>0.34456553764548647</v>
          </cell>
          <cell r="O9">
            <v>0.3133568417345769</v>
          </cell>
          <cell r="P9">
            <v>0.27930171295976403</v>
          </cell>
          <cell r="Q9">
            <v>0.3821282170901924</v>
          </cell>
          <cell r="AB9">
            <v>2010</v>
          </cell>
          <cell r="AC9">
            <v>6</v>
          </cell>
          <cell r="AD9">
            <v>2.3958229208060039E-2</v>
          </cell>
          <cell r="AE9">
            <v>3.3390291395899805</v>
          </cell>
        </row>
        <row r="10">
          <cell r="A10" t="str">
            <v>Res SH</v>
          </cell>
          <cell r="B10">
            <v>2.5162728156740127E-4</v>
          </cell>
          <cell r="C10">
            <v>6.9906806433752534E-6</v>
          </cell>
          <cell r="D10">
            <v>9</v>
          </cell>
          <cell r="G10">
            <v>7</v>
          </cell>
          <cell r="H10">
            <v>0.33079844531223562</v>
          </cell>
          <cell r="I10">
            <v>0.37953025325305506</v>
          </cell>
          <cell r="J10">
            <v>0.4661012516852524</v>
          </cell>
          <cell r="K10">
            <v>0.22549238457276805</v>
          </cell>
          <cell r="L10">
            <v>0.53672688657971579</v>
          </cell>
          <cell r="M10">
            <v>0.37878745834351735</v>
          </cell>
          <cell r="N10">
            <v>0.40252191014370642</v>
          </cell>
          <cell r="O10">
            <v>0.36578341268719494</v>
          </cell>
          <cell r="P10">
            <v>0.32594492190492796</v>
          </cell>
          <cell r="Q10">
            <v>0.4473490085321794</v>
          </cell>
          <cell r="AB10">
            <v>2011</v>
          </cell>
          <cell r="AC10">
            <v>7</v>
          </cell>
          <cell r="AD10">
            <v>3.004333220015741E-2</v>
          </cell>
          <cell r="AE10">
            <v>3.7757293698351506</v>
          </cell>
        </row>
        <row r="11">
          <cell r="A11" t="str">
            <v>Shell Wx</v>
          </cell>
          <cell r="B11">
            <v>3.4331518021211006E-4</v>
          </cell>
          <cell r="C11">
            <v>3.1101589120941116E-5</v>
          </cell>
          <cell r="D11">
            <v>10</v>
          </cell>
          <cell r="G11">
            <v>8</v>
          </cell>
          <cell r="H11">
            <v>0.37839806240636464</v>
          </cell>
          <cell r="I11">
            <v>0.43431322725473787</v>
          </cell>
          <cell r="J11">
            <v>0.53330169715950648</v>
          </cell>
          <cell r="K11">
            <v>0.25768552799666172</v>
          </cell>
          <cell r="L11">
            <v>0.61548372502911308</v>
          </cell>
          <cell r="M11">
            <v>0.43293046754717529</v>
          </cell>
          <cell r="N11">
            <v>0.46047828264192636</v>
          </cell>
          <cell r="O11">
            <v>0.41820998363981299</v>
          </cell>
          <cell r="P11">
            <v>0.3725881308500919</v>
          </cell>
          <cell r="Q11">
            <v>0.51256979997416641</v>
          </cell>
          <cell r="AB11">
            <v>2012</v>
          </cell>
          <cell r="AC11">
            <v>8</v>
          </cell>
          <cell r="AD11">
            <v>3.5951199182776214E-2</v>
          </cell>
          <cell r="AE11">
            <v>4.1965035689478638</v>
          </cell>
        </row>
        <row r="12">
          <cell r="A12" t="str">
            <v>Solar DHW</v>
          </cell>
          <cell r="B12">
            <v>1.3535404337832553E-4</v>
          </cell>
          <cell r="C12">
            <v>4.2484080028791884E-4</v>
          </cell>
          <cell r="D12">
            <v>11</v>
          </cell>
          <cell r="G12">
            <v>9</v>
          </cell>
          <cell r="H12">
            <v>0.42599767950049366</v>
          </cell>
          <cell r="I12">
            <v>0.48909620125642067</v>
          </cell>
          <cell r="J12">
            <v>0.60050214263376056</v>
          </cell>
          <cell r="K12">
            <v>0.2898786714205554</v>
          </cell>
          <cell r="L12">
            <v>0.69424056347851038</v>
          </cell>
          <cell r="M12">
            <v>0.48707347675083323</v>
          </cell>
          <cell r="N12">
            <v>0.51843465514014631</v>
          </cell>
          <cell r="O12">
            <v>0.47063655459243103</v>
          </cell>
          <cell r="P12">
            <v>0.41923133979525584</v>
          </cell>
          <cell r="Q12">
            <v>0.57779059141615341</v>
          </cell>
          <cell r="AB12">
            <v>2013</v>
          </cell>
          <cell r="AC12">
            <v>9</v>
          </cell>
          <cell r="AD12">
            <v>4.1686992369784764E-2</v>
          </cell>
          <cell r="AE12">
            <v>4.6019371767205355</v>
          </cell>
        </row>
        <row r="13">
          <cell r="A13" t="str">
            <v>None</v>
          </cell>
          <cell r="B13">
            <v>0</v>
          </cell>
          <cell r="C13">
            <v>0</v>
          </cell>
          <cell r="G13">
            <v>10</v>
          </cell>
          <cell r="H13">
            <v>0.47359729659462274</v>
          </cell>
          <cell r="I13">
            <v>0.54387917525810348</v>
          </cell>
          <cell r="J13">
            <v>0.66770258810801453</v>
          </cell>
          <cell r="K13">
            <v>0.32207181484444908</v>
          </cell>
          <cell r="L13">
            <v>0.77299740192790767</v>
          </cell>
          <cell r="M13">
            <v>0.54121648595449112</v>
          </cell>
          <cell r="N13">
            <v>0.57639102763836614</v>
          </cell>
          <cell r="O13">
            <v>0.52306312554504897</v>
          </cell>
          <cell r="P13">
            <v>0.46587454874041967</v>
          </cell>
          <cell r="Q13">
            <v>0.64301138285814019</v>
          </cell>
          <cell r="AB13">
            <v>2014</v>
          </cell>
          <cell r="AC13">
            <v>10</v>
          </cell>
          <cell r="AD13">
            <v>4.7255723619307625E-2</v>
          </cell>
          <cell r="AE13">
            <v>4.9925939719323766</v>
          </cell>
        </row>
        <row r="14">
          <cell r="G14">
            <v>11</v>
          </cell>
          <cell r="H14">
            <v>0.51056452561162924</v>
          </cell>
          <cell r="I14">
            <v>0.58637420810338148</v>
          </cell>
          <cell r="J14">
            <v>0.7193195730327191</v>
          </cell>
          <cell r="K14">
            <v>0.3474697002333077</v>
          </cell>
          <cell r="L14">
            <v>0.83607430640049629</v>
          </cell>
          <cell r="M14">
            <v>0.58313720399169633</v>
          </cell>
          <cell r="N14">
            <v>0.62025291673152338</v>
          </cell>
          <cell r="O14">
            <v>0.562702017066261</v>
          </cell>
          <cell r="P14">
            <v>0.50128141406669102</v>
          </cell>
          <cell r="Q14">
            <v>0.6947101600536506</v>
          </cell>
          <cell r="AB14">
            <v>2015</v>
          </cell>
          <cell r="AC14">
            <v>11</v>
          </cell>
          <cell r="AD14">
            <v>5.2662258813019142E-2</v>
          </cell>
          <cell r="AE14">
            <v>5.3690168780115872</v>
          </cell>
        </row>
        <row r="15">
          <cell r="G15">
            <v>12</v>
          </cell>
          <cell r="H15">
            <v>0.54753175462863579</v>
          </cell>
          <cell r="I15">
            <v>0.62886924094865948</v>
          </cell>
          <cell r="J15">
            <v>0.77093655795742366</v>
          </cell>
          <cell r="K15">
            <v>0.37286758562216632</v>
          </cell>
          <cell r="L15">
            <v>0.89915121087308503</v>
          </cell>
          <cell r="M15">
            <v>0.62505792202890154</v>
          </cell>
          <cell r="N15">
            <v>0.66411480582468063</v>
          </cell>
          <cell r="O15">
            <v>0.60234090858747302</v>
          </cell>
          <cell r="P15">
            <v>0.53668827939296238</v>
          </cell>
          <cell r="Q15">
            <v>0.74640893724916102</v>
          </cell>
          <cell r="AB15">
            <v>2016</v>
          </cell>
          <cell r="AC15">
            <v>12</v>
          </cell>
          <cell r="AD15">
            <v>5.7911322107884695E-2</v>
          </cell>
          <cell r="AE15">
            <v>5.7351786184490807</v>
          </cell>
        </row>
        <row r="16">
          <cell r="G16">
            <v>13</v>
          </cell>
          <cell r="H16">
            <v>0.58449898364564234</v>
          </cell>
          <cell r="I16">
            <v>0.67136427379393748</v>
          </cell>
          <cell r="J16">
            <v>0.82255354288212823</v>
          </cell>
          <cell r="K16">
            <v>0.39826547101102494</v>
          </cell>
          <cell r="L16">
            <v>0.96222811534567376</v>
          </cell>
          <cell r="M16">
            <v>0.66697864006610674</v>
          </cell>
          <cell r="N16">
            <v>0.70797669491783788</v>
          </cell>
          <cell r="O16">
            <v>0.64197980010868505</v>
          </cell>
          <cell r="P16">
            <v>0.57209514471923373</v>
          </cell>
          <cell r="Q16">
            <v>0.79810771444467143</v>
          </cell>
          <cell r="AB16">
            <v>2017</v>
          </cell>
          <cell r="AC16">
            <v>13</v>
          </cell>
          <cell r="AD16">
            <v>7.7967869911907683E-2</v>
          </cell>
          <cell r="AE16">
            <v>6.0913591768809345</v>
          </cell>
        </row>
        <row r="17">
          <cell r="G17">
            <v>14</v>
          </cell>
          <cell r="H17">
            <v>0.6214662126626489</v>
          </cell>
          <cell r="I17">
            <v>0.71385930663921549</v>
          </cell>
          <cell r="J17">
            <v>0.8741705278068328</v>
          </cell>
          <cell r="K17">
            <v>0.42366335639988356</v>
          </cell>
          <cell r="L17">
            <v>1.0253050198182625</v>
          </cell>
          <cell r="M17">
            <v>0.70889935810331195</v>
          </cell>
          <cell r="N17">
            <v>0.75183858401099513</v>
          </cell>
          <cell r="O17">
            <v>0.68161869162989708</v>
          </cell>
          <cell r="P17">
            <v>0.60750201004550508</v>
          </cell>
          <cell r="Q17">
            <v>0.84980649164018185</v>
          </cell>
          <cell r="AB17">
            <v>2018</v>
          </cell>
          <cell r="AC17">
            <v>14</v>
          </cell>
          <cell r="AD17">
            <v>0.13449797051354906</v>
          </cell>
          <cell r="AE17">
            <v>6.4378308896932648</v>
          </cell>
        </row>
        <row r="18">
          <cell r="G18">
            <v>15</v>
          </cell>
          <cell r="H18">
            <v>0.65843344167965545</v>
          </cell>
          <cell r="I18">
            <v>0.75635433948449349</v>
          </cell>
          <cell r="J18">
            <v>0.92578751273153737</v>
          </cell>
          <cell r="K18">
            <v>0.44906124178874218</v>
          </cell>
          <cell r="L18">
            <v>1.0883819242908512</v>
          </cell>
          <cell r="M18">
            <v>0.75082007614051716</v>
          </cell>
          <cell r="N18">
            <v>0.79570047310415237</v>
          </cell>
          <cell r="O18">
            <v>0.72125758315110911</v>
          </cell>
          <cell r="P18">
            <v>0.64290887537177643</v>
          </cell>
          <cell r="Q18">
            <v>0.90150526883569226</v>
          </cell>
          <cell r="AB18">
            <v>2019</v>
          </cell>
          <cell r="AC18">
            <v>15</v>
          </cell>
          <cell r="AD18">
            <v>0.15340319042496672</v>
          </cell>
          <cell r="AE18">
            <v>6.7748586551136309</v>
          </cell>
        </row>
        <row r="19">
          <cell r="G19">
            <v>16</v>
          </cell>
          <cell r="H19">
            <v>0.695400670696662</v>
          </cell>
          <cell r="I19">
            <v>0.79884937232977149</v>
          </cell>
          <cell r="J19">
            <v>0.97740449765624193</v>
          </cell>
          <cell r="K19">
            <v>0.4744591271776008</v>
          </cell>
          <cell r="L19">
            <v>1.15145882876344</v>
          </cell>
          <cell r="M19">
            <v>0.79274079417772236</v>
          </cell>
          <cell r="N19">
            <v>0.83956236219730962</v>
          </cell>
          <cell r="O19">
            <v>0.76089647467232113</v>
          </cell>
          <cell r="P19">
            <v>0.67831574069804779</v>
          </cell>
          <cell r="Q19">
            <v>0.95320404603120268</v>
          </cell>
          <cell r="AB19">
            <v>2020</v>
          </cell>
          <cell r="AC19">
            <v>16</v>
          </cell>
          <cell r="AD19">
            <v>0.20668823199499345</v>
          </cell>
          <cell r="AE19">
            <v>7.1027001365791298</v>
          </cell>
        </row>
        <row r="20">
          <cell r="G20">
            <v>17</v>
          </cell>
          <cell r="H20">
            <v>0.73236789971366856</v>
          </cell>
          <cell r="I20">
            <v>0.84134440517504949</v>
          </cell>
          <cell r="J20">
            <v>1.0290214825809465</v>
          </cell>
          <cell r="K20">
            <v>0.49985701256645942</v>
          </cell>
          <cell r="L20">
            <v>1.2145357332360287</v>
          </cell>
          <cell r="M20">
            <v>0.83466151221492757</v>
          </cell>
          <cell r="N20">
            <v>0.88342425129046687</v>
          </cell>
          <cell r="O20">
            <v>0.80053536619353316</v>
          </cell>
          <cell r="P20">
            <v>0.71372260602431914</v>
          </cell>
          <cell r="Q20">
            <v>1.004902823226713</v>
          </cell>
          <cell r="AB20">
            <v>2021</v>
          </cell>
          <cell r="AC20">
            <v>17</v>
          </cell>
          <cell r="AD20">
            <v>0.22450821494476975</v>
          </cell>
          <cell r="AE20">
            <v>7.4227948163181345</v>
          </cell>
        </row>
        <row r="21">
          <cell r="G21">
            <v>18</v>
          </cell>
          <cell r="H21">
            <v>0.76933512873067511</v>
          </cell>
          <cell r="I21">
            <v>0.88383943802032749</v>
          </cell>
          <cell r="J21">
            <v>1.0806384675056511</v>
          </cell>
          <cell r="K21">
            <v>0.5252548979553181</v>
          </cell>
          <cell r="L21">
            <v>1.2776126377086174</v>
          </cell>
          <cell r="M21">
            <v>0.87658223025213278</v>
          </cell>
          <cell r="N21">
            <v>0.92728614038362411</v>
          </cell>
          <cell r="O21">
            <v>0.84017425771474519</v>
          </cell>
          <cell r="P21">
            <v>0.74912947135059049</v>
          </cell>
          <cell r="Q21">
            <v>1.0566016004222234</v>
          </cell>
          <cell r="AB21">
            <v>2022</v>
          </cell>
          <cell r="AC21">
            <v>18</v>
          </cell>
          <cell r="AD21">
            <v>0.24180916926494087</v>
          </cell>
          <cell r="AE21">
            <v>7.7353277469195625</v>
          </cell>
        </row>
        <row r="22">
          <cell r="G22">
            <v>19</v>
          </cell>
          <cell r="H22">
            <v>0.80630235774768166</v>
          </cell>
          <cell r="I22">
            <v>0.9263344708656055</v>
          </cell>
          <cell r="J22">
            <v>1.1322554524303556</v>
          </cell>
          <cell r="K22">
            <v>0.55065278334417678</v>
          </cell>
          <cell r="L22">
            <v>1.3406895421812062</v>
          </cell>
          <cell r="M22">
            <v>0.91850294828933798</v>
          </cell>
          <cell r="N22">
            <v>0.97114802947678136</v>
          </cell>
          <cell r="O22">
            <v>0.87981314923595721</v>
          </cell>
          <cell r="P22">
            <v>0.78453633667686185</v>
          </cell>
          <cell r="Q22">
            <v>1.1083003776177338</v>
          </cell>
          <cell r="AB22">
            <v>2023</v>
          </cell>
          <cell r="AC22">
            <v>19</v>
          </cell>
          <cell r="AD22">
            <v>0.26705751884615664</v>
          </cell>
          <cell r="AE22">
            <v>8.0404795050484612</v>
          </cell>
        </row>
        <row r="23">
          <cell r="G23">
            <v>20</v>
          </cell>
          <cell r="H23">
            <v>0.84326958676468822</v>
          </cell>
          <cell r="I23">
            <v>0.96882950371088328</v>
          </cell>
          <cell r="J23">
            <v>1.1838724373550606</v>
          </cell>
          <cell r="K23">
            <v>0.57605066873303534</v>
          </cell>
          <cell r="L23">
            <v>1.4037664466537945</v>
          </cell>
          <cell r="M23">
            <v>0.96042366632654363</v>
          </cell>
          <cell r="N23">
            <v>1.0150099185699391</v>
          </cell>
          <cell r="O23">
            <v>0.91945204075716958</v>
          </cell>
          <cell r="P23">
            <v>0.81994320200313342</v>
          </cell>
          <cell r="Q23">
            <v>1.1599991548132442</v>
          </cell>
          <cell r="AB23">
            <v>2024</v>
          </cell>
          <cell r="AC23">
            <v>20</v>
          </cell>
          <cell r="AD23">
            <v>0.29157047960461852</v>
          </cell>
          <cell r="AE23">
            <v>8.3384263012294646</v>
          </cell>
        </row>
        <row r="24">
          <cell r="G24">
            <v>21</v>
          </cell>
          <cell r="H24">
            <v>0.87018472416634374</v>
          </cell>
          <cell r="I24">
            <v>0.99922016042084216</v>
          </cell>
          <cell r="J24">
            <v>1.223325280641723</v>
          </cell>
          <cell r="K24">
            <v>0.59546005345112241</v>
          </cell>
          <cell r="L24">
            <v>1.4474725209441246</v>
          </cell>
          <cell r="M24">
            <v>0.99106243256974846</v>
          </cell>
          <cell r="N24">
            <v>1.0477460661980871</v>
          </cell>
          <cell r="O24">
            <v>0.94926321641552669</v>
          </cell>
          <cell r="P24">
            <v>0.84635832491260798</v>
          </cell>
          <cell r="Q24">
            <v>1.195026692773532</v>
          </cell>
          <cell r="AB24">
            <v>2025</v>
          </cell>
          <cell r="AC24">
            <v>21</v>
          </cell>
          <cell r="AD24">
            <v>0.33753462453919891</v>
          </cell>
          <cell r="AE24">
            <v>8.629340086896244</v>
          </cell>
        </row>
        <row r="25">
          <cell r="G25">
            <v>22</v>
          </cell>
          <cell r="H25">
            <v>0.89709986156799926</v>
          </cell>
          <cell r="I25">
            <v>1.0296108171308009</v>
          </cell>
          <cell r="J25">
            <v>1.2627781239283853</v>
          </cell>
          <cell r="K25">
            <v>0.61486943816920947</v>
          </cell>
          <cell r="L25">
            <v>1.4911785952344547</v>
          </cell>
          <cell r="M25">
            <v>1.0217011988129532</v>
          </cell>
          <cell r="N25">
            <v>1.0804822138262351</v>
          </cell>
          <cell r="O25">
            <v>0.9790743920738838</v>
          </cell>
          <cell r="P25">
            <v>0.87277344782208255</v>
          </cell>
          <cell r="Q25">
            <v>1.2300542307338198</v>
          </cell>
          <cell r="AB25">
            <v>2026</v>
          </cell>
          <cell r="AC25">
            <v>22</v>
          </cell>
          <cell r="AD25">
            <v>0.38216000797083033</v>
          </cell>
          <cell r="AE25">
            <v>8.9133463330074143</v>
          </cell>
        </row>
        <row r="26">
          <cell r="G26">
            <v>23</v>
          </cell>
          <cell r="H26">
            <v>0.92401499896965478</v>
          </cell>
          <cell r="I26">
            <v>1.0600014738407597</v>
          </cell>
          <cell r="J26">
            <v>1.3022309672150476</v>
          </cell>
          <cell r="K26">
            <v>0.63427882288729653</v>
          </cell>
          <cell r="L26">
            <v>1.5348846695247849</v>
          </cell>
          <cell r="M26">
            <v>1.052339965056158</v>
          </cell>
          <cell r="N26">
            <v>1.1132183614543831</v>
          </cell>
          <cell r="O26">
            <v>1.008885567732241</v>
          </cell>
          <cell r="P26">
            <v>0.89918857073155711</v>
          </cell>
          <cell r="Q26">
            <v>1.2650817686941076</v>
          </cell>
          <cell r="AB26">
            <v>2027</v>
          </cell>
          <cell r="AC26">
            <v>23</v>
          </cell>
          <cell r="AD26">
            <v>0.43307905819658699</v>
          </cell>
          <cell r="AE26">
            <v>9.1906006277781138</v>
          </cell>
        </row>
        <row r="27">
          <cell r="G27">
            <v>24</v>
          </cell>
          <cell r="H27">
            <v>0.9509301363713103</v>
          </cell>
          <cell r="I27">
            <v>1.0903921305507185</v>
          </cell>
          <cell r="J27">
            <v>1.3416838105017099</v>
          </cell>
          <cell r="K27">
            <v>0.6536882076053836</v>
          </cell>
          <cell r="L27">
            <v>1.578590743815115</v>
          </cell>
          <cell r="M27">
            <v>1.0829787312993628</v>
          </cell>
          <cell r="N27">
            <v>1.1459545090825312</v>
          </cell>
          <cell r="O27">
            <v>1.0386967433905983</v>
          </cell>
          <cell r="P27">
            <v>0.92560369364103168</v>
          </cell>
          <cell r="Q27">
            <v>1.3001093066543954</v>
          </cell>
          <cell r="AB27">
            <v>2028</v>
          </cell>
          <cell r="AC27">
            <v>24</v>
          </cell>
          <cell r="AD27">
            <v>0.48251502928955464</v>
          </cell>
          <cell r="AE27">
            <v>9.4612553559489747</v>
          </cell>
        </row>
        <row r="28">
          <cell r="G28">
            <v>25</v>
          </cell>
          <cell r="H28">
            <v>0.97784527377296582</v>
          </cell>
          <cell r="I28">
            <v>1.1207827872606773</v>
          </cell>
          <cell r="J28">
            <v>1.3811366537883722</v>
          </cell>
          <cell r="K28">
            <v>0.67309759232347066</v>
          </cell>
          <cell r="L28">
            <v>1.6222968181054451</v>
          </cell>
          <cell r="M28">
            <v>1.1136174975425677</v>
          </cell>
          <cell r="N28">
            <v>1.1786906567106792</v>
          </cell>
          <cell r="O28">
            <v>1.0685079190489555</v>
          </cell>
          <cell r="P28">
            <v>0.95201881655050624</v>
          </cell>
          <cell r="Q28">
            <v>1.3351368446146832</v>
          </cell>
          <cell r="AB28">
            <v>2029</v>
          </cell>
          <cell r="AC28">
            <v>25</v>
          </cell>
          <cell r="AD28">
            <v>0.52335357673244887</v>
          </cell>
          <cell r="AE28">
            <v>9.7254597534051701</v>
          </cell>
        </row>
        <row r="29">
          <cell r="G29">
            <v>26</v>
          </cell>
          <cell r="H29">
            <v>1.0047604111746213</v>
          </cell>
          <cell r="I29">
            <v>1.151173443970636</v>
          </cell>
          <cell r="J29">
            <v>1.4205894970750346</v>
          </cell>
          <cell r="K29">
            <v>0.69250697704155773</v>
          </cell>
          <cell r="L29">
            <v>1.6660028923957753</v>
          </cell>
          <cell r="M29">
            <v>1.1442562637857725</v>
          </cell>
          <cell r="N29">
            <v>1.2114268043388272</v>
          </cell>
          <cell r="O29">
            <v>1.0983190947073127</v>
          </cell>
          <cell r="P29">
            <v>0.97843393945998081</v>
          </cell>
          <cell r="Q29">
            <v>1.370164382574971</v>
          </cell>
          <cell r="AB29">
            <v>2030</v>
          </cell>
          <cell r="AC29">
            <v>26</v>
          </cell>
          <cell r="AD29">
            <v>0.56300265191972465</v>
          </cell>
          <cell r="AE29">
            <v>9.9833599613313648</v>
          </cell>
        </row>
        <row r="30">
          <cell r="G30">
            <v>27</v>
          </cell>
          <cell r="H30">
            <v>1.031675548576277</v>
          </cell>
          <cell r="I30">
            <v>1.1815641006805948</v>
          </cell>
          <cell r="J30">
            <v>1.4600423403616969</v>
          </cell>
          <cell r="K30">
            <v>0.71191636175964479</v>
          </cell>
          <cell r="L30">
            <v>1.7097089666861054</v>
          </cell>
          <cell r="M30">
            <v>1.1748950300289773</v>
          </cell>
          <cell r="N30">
            <v>1.2441629519669752</v>
          </cell>
          <cell r="O30">
            <v>1.1281302703656699</v>
          </cell>
          <cell r="P30">
            <v>1.0048490623694555</v>
          </cell>
          <cell r="Q30">
            <v>1.4051919205352588</v>
          </cell>
          <cell r="AB30">
            <v>2031</v>
          </cell>
          <cell r="AC30">
            <v>27</v>
          </cell>
          <cell r="AD30">
            <v>0.57528187053148494</v>
          </cell>
          <cell r="AE30">
            <v>10.235099079883316</v>
          </cell>
        </row>
        <row r="31">
          <cell r="G31">
            <v>28</v>
          </cell>
          <cell r="H31">
            <v>1.0585906859779326</v>
          </cell>
          <cell r="I31">
            <v>1.2119547573905536</v>
          </cell>
          <cell r="J31">
            <v>1.4994951836483592</v>
          </cell>
          <cell r="K31">
            <v>0.73132574647773185</v>
          </cell>
          <cell r="L31">
            <v>1.7534150409764355</v>
          </cell>
          <cell r="M31">
            <v>1.2055337962721822</v>
          </cell>
          <cell r="N31">
            <v>1.2768990995951233</v>
          </cell>
          <cell r="O31">
            <v>1.1579414460240272</v>
          </cell>
          <cell r="P31">
            <v>1.0312641852789302</v>
          </cell>
          <cell r="Q31">
            <v>1.4402194584955466</v>
          </cell>
          <cell r="AB31">
            <v>2032</v>
          </cell>
          <cell r="AC31">
            <v>28</v>
          </cell>
          <cell r="AD31">
            <v>0.61920509054872108</v>
          </cell>
          <cell r="AE31">
            <v>10.480817221358313</v>
          </cell>
        </row>
        <row r="32">
          <cell r="G32">
            <v>29</v>
          </cell>
          <cell r="H32">
            <v>1.0855058233795882</v>
          </cell>
          <cell r="I32">
            <v>1.2423454141005124</v>
          </cell>
          <cell r="J32">
            <v>1.5389480269350215</v>
          </cell>
          <cell r="K32">
            <v>0.75073513119581892</v>
          </cell>
          <cell r="L32">
            <v>1.7971211152667657</v>
          </cell>
          <cell r="M32">
            <v>1.236172562515387</v>
          </cell>
          <cell r="N32">
            <v>1.3096352472232713</v>
          </cell>
          <cell r="O32">
            <v>1.1877526216823844</v>
          </cell>
          <cell r="P32">
            <v>1.0576793081884048</v>
          </cell>
          <cell r="Q32">
            <v>1.4752469964558343</v>
          </cell>
          <cell r="AB32">
            <v>2033</v>
          </cell>
          <cell r="AC32">
            <v>29</v>
          </cell>
          <cell r="AD32">
            <v>0.66184899347807657</v>
          </cell>
          <cell r="AE32">
            <v>10.720651562848129</v>
          </cell>
        </row>
        <row r="33">
          <cell r="G33">
            <v>30</v>
          </cell>
          <cell r="H33">
            <v>1.1124209607812439</v>
          </cell>
          <cell r="I33">
            <v>1.2727360708104718</v>
          </cell>
          <cell r="J33">
            <v>1.5784008702216847</v>
          </cell>
          <cell r="K33">
            <v>0.77014451591390631</v>
          </cell>
          <cell r="L33">
            <v>1.8408271895570962</v>
          </cell>
          <cell r="M33">
            <v>1.2668113287585916</v>
          </cell>
          <cell r="N33">
            <v>1.34237139485142</v>
          </cell>
          <cell r="O33">
            <v>1.2175637973407409</v>
          </cell>
          <cell r="P33">
            <v>1.0840944310978795</v>
          </cell>
          <cell r="Q33">
            <v>1.5102745344161215</v>
          </cell>
          <cell r="AB33">
            <v>2034</v>
          </cell>
          <cell r="AC33">
            <v>30</v>
          </cell>
          <cell r="AD33">
            <v>0.70325084098230517</v>
          </cell>
          <cell r="AE33">
            <v>10.957323046522811</v>
          </cell>
        </row>
        <row r="34">
          <cell r="G34">
            <v>31</v>
          </cell>
          <cell r="H34">
            <v>1.1324483515795338</v>
          </cell>
          <cell r="I34">
            <v>1.2953495737533849</v>
          </cell>
          <cell r="J34">
            <v>1.6077574893717592</v>
          </cell>
          <cell r="K34">
            <v>0.78458692073467906</v>
          </cell>
          <cell r="L34">
            <v>1.8733486111478757</v>
          </cell>
          <cell r="M34">
            <v>1.2896094479650766</v>
          </cell>
          <cell r="N34">
            <v>1.3667301731857737</v>
          </cell>
          <cell r="O34">
            <v>1.2397461105342309</v>
          </cell>
          <cell r="P34">
            <v>1.1037497627446347</v>
          </cell>
          <cell r="Q34">
            <v>1.5363383127705348</v>
          </cell>
          <cell r="AB34">
            <v>2035</v>
          </cell>
          <cell r="AC34">
            <v>31</v>
          </cell>
          <cell r="AD34">
            <v>0.74344680943301256</v>
          </cell>
          <cell r="AE34">
            <v>11.188759448703577</v>
          </cell>
        </row>
        <row r="35">
          <cell r="G35">
            <v>32</v>
          </cell>
          <cell r="H35">
            <v>1.1524757423778238</v>
          </cell>
          <cell r="I35">
            <v>1.317963076696298</v>
          </cell>
          <cell r="J35">
            <v>1.6371141085218337</v>
          </cell>
          <cell r="K35">
            <v>0.79902932555545181</v>
          </cell>
          <cell r="L35">
            <v>1.9058700327386551</v>
          </cell>
          <cell r="M35">
            <v>1.3124075671715616</v>
          </cell>
          <cell r="N35">
            <v>1.3910889515201275</v>
          </cell>
          <cell r="O35">
            <v>1.2619284237277208</v>
          </cell>
          <cell r="P35">
            <v>1.1234050943913898</v>
          </cell>
          <cell r="Q35">
            <v>1.5624020911249481</v>
          </cell>
          <cell r="AB35">
            <v>2036</v>
          </cell>
          <cell r="AC35">
            <v>32</v>
          </cell>
          <cell r="AD35">
            <v>0.78247202152107798</v>
          </cell>
          <cell r="AE35">
            <v>11.415116950697461</v>
          </cell>
        </row>
        <row r="36">
          <cell r="G36">
            <v>33</v>
          </cell>
          <cell r="H36">
            <v>1.1725031331761138</v>
          </cell>
          <cell r="I36">
            <v>1.3405765796392111</v>
          </cell>
          <cell r="J36">
            <v>1.6664707276719082</v>
          </cell>
          <cell r="K36">
            <v>0.81347173037622456</v>
          </cell>
          <cell r="L36">
            <v>1.9383914543294345</v>
          </cell>
          <cell r="M36">
            <v>1.3352056863780466</v>
          </cell>
          <cell r="N36">
            <v>1.4154477298544812</v>
          </cell>
          <cell r="O36">
            <v>1.2841107369212108</v>
          </cell>
          <cell r="P36">
            <v>1.1430604260381449</v>
          </cell>
          <cell r="Q36">
            <v>1.5884658694793614</v>
          </cell>
          <cell r="AB36">
            <v>2037</v>
          </cell>
          <cell r="AC36">
            <v>33</v>
          </cell>
          <cell r="AD36">
            <v>0.8203605769463842</v>
          </cell>
          <cell r="AE36">
            <v>11.636545562356241</v>
          </cell>
        </row>
        <row r="37">
          <cell r="G37">
            <v>34</v>
          </cell>
          <cell r="H37">
            <v>1.1925305239744037</v>
          </cell>
          <cell r="I37">
            <v>1.3631900825821242</v>
          </cell>
          <cell r="J37">
            <v>1.6958273468219827</v>
          </cell>
          <cell r="K37">
            <v>0.8279141351969973</v>
          </cell>
          <cell r="L37">
            <v>1.9709128759202139</v>
          </cell>
          <cell r="M37">
            <v>1.3580038055845316</v>
          </cell>
          <cell r="N37">
            <v>1.4398065081888349</v>
          </cell>
          <cell r="O37">
            <v>1.3062930501147008</v>
          </cell>
          <cell r="P37">
            <v>1.1627157576849001</v>
          </cell>
          <cell r="Q37">
            <v>1.6145296478337747</v>
          </cell>
          <cell r="AB37">
            <v>2038</v>
          </cell>
          <cell r="AC37">
            <v>34</v>
          </cell>
          <cell r="AD37">
            <v>0.85714558221367176</v>
          </cell>
          <cell r="AE37">
            <v>11.853189393199679</v>
          </cell>
        </row>
        <row r="38">
          <cell r="G38">
            <v>35</v>
          </cell>
          <cell r="H38">
            <v>1.2125579147726937</v>
          </cell>
          <cell r="I38">
            <v>1.3858035855250372</v>
          </cell>
          <cell r="J38">
            <v>1.7251839659720571</v>
          </cell>
          <cell r="K38">
            <v>0.84235654001777005</v>
          </cell>
          <cell r="L38">
            <v>2.0034342975109936</v>
          </cell>
          <cell r="M38">
            <v>1.3808019247910166</v>
          </cell>
          <cell r="N38">
            <v>1.4641652865231887</v>
          </cell>
          <cell r="O38">
            <v>1.3284753633081907</v>
          </cell>
          <cell r="P38">
            <v>1.1823710893316552</v>
          </cell>
          <cell r="Q38">
            <v>1.640593426188188</v>
          </cell>
          <cell r="AB38">
            <v>2039</v>
          </cell>
          <cell r="AC38">
            <v>35</v>
          </cell>
          <cell r="AD38">
            <v>0.89285917956055294</v>
          </cell>
          <cell r="AE38">
            <v>12.065186911695758</v>
          </cell>
        </row>
        <row r="39">
          <cell r="G39">
            <v>36</v>
          </cell>
          <cell r="H39">
            <v>1.2325853055709837</v>
          </cell>
          <cell r="I39">
            <v>1.4084170884679503</v>
          </cell>
          <cell r="J39">
            <v>1.7545405851221316</v>
          </cell>
          <cell r="K39">
            <v>0.8567989448385428</v>
          </cell>
          <cell r="L39">
            <v>2.0359557191017732</v>
          </cell>
          <cell r="M39">
            <v>1.4036000439975016</v>
          </cell>
          <cell r="N39">
            <v>1.4885240648575424</v>
          </cell>
          <cell r="O39">
            <v>1.3506576765016807</v>
          </cell>
          <cell r="P39">
            <v>1.2020264209784104</v>
          </cell>
          <cell r="Q39">
            <v>1.6666572045426014</v>
          </cell>
          <cell r="AB39">
            <v>2040</v>
          </cell>
          <cell r="AC39">
            <v>36</v>
          </cell>
          <cell r="AD39">
            <v>0.92753257504296183</v>
          </cell>
          <cell r="AE39">
            <v>12.272671193195185</v>
          </cell>
        </row>
        <row r="40">
          <cell r="G40">
            <v>37</v>
          </cell>
          <cell r="H40">
            <v>1.2526126963692736</v>
          </cell>
          <cell r="I40">
            <v>1.4310305914108634</v>
          </cell>
          <cell r="J40">
            <v>1.7838972042722061</v>
          </cell>
          <cell r="K40">
            <v>0.87124134965931554</v>
          </cell>
          <cell r="L40">
            <v>2.0684771406925528</v>
          </cell>
          <cell r="M40">
            <v>1.4263981632039866</v>
          </cell>
          <cell r="N40">
            <v>1.5128828431918961</v>
          </cell>
          <cell r="O40">
            <v>1.3728399896951706</v>
          </cell>
          <cell r="P40">
            <v>1.2216817526251655</v>
          </cell>
          <cell r="Q40">
            <v>1.6927209828970147</v>
          </cell>
          <cell r="AB40">
            <v>2041</v>
          </cell>
          <cell r="AC40">
            <v>37</v>
          </cell>
          <cell r="AD40">
            <v>0.9611960658025821</v>
          </cell>
          <cell r="AE40">
            <v>12.475770156997472</v>
          </cell>
        </row>
        <row r="41">
          <cell r="G41">
            <v>38</v>
          </cell>
          <cell r="H41">
            <v>1.2726400871675636</v>
          </cell>
          <cell r="I41">
            <v>1.4536440943537765</v>
          </cell>
          <cell r="J41">
            <v>1.8132538234222806</v>
          </cell>
          <cell r="K41">
            <v>0.88568375448008829</v>
          </cell>
          <cell r="L41">
            <v>2.1009985622833325</v>
          </cell>
          <cell r="M41">
            <v>1.4491962824104716</v>
          </cell>
          <cell r="N41">
            <v>1.5372416215262499</v>
          </cell>
          <cell r="O41">
            <v>1.3950223028886606</v>
          </cell>
          <cell r="P41">
            <v>1.2413370842719207</v>
          </cell>
          <cell r="Q41">
            <v>1.718784761251428</v>
          </cell>
          <cell r="AB41">
            <v>2042</v>
          </cell>
          <cell r="AC41">
            <v>38</v>
          </cell>
          <cell r="AD41">
            <v>0.99387906654007763</v>
          </cell>
          <cell r="AE41">
            <v>12.674606793006642</v>
          </cell>
        </row>
        <row r="42">
          <cell r="G42">
            <v>39</v>
          </cell>
          <cell r="H42">
            <v>1.2926674779658536</v>
          </cell>
          <cell r="I42">
            <v>1.4762575972966896</v>
          </cell>
          <cell r="J42">
            <v>1.8426104425723551</v>
          </cell>
          <cell r="K42">
            <v>0.90012615930086104</v>
          </cell>
          <cell r="L42">
            <v>2.1335199838741121</v>
          </cell>
          <cell r="M42">
            <v>1.4719944016169566</v>
          </cell>
          <cell r="N42">
            <v>1.5616003998606036</v>
          </cell>
          <cell r="O42">
            <v>1.4172046160821505</v>
          </cell>
          <cell r="P42">
            <v>1.2609924159186758</v>
          </cell>
          <cell r="Q42">
            <v>1.7448485396058413</v>
          </cell>
          <cell r="AB42">
            <v>2043</v>
          </cell>
          <cell r="AC42">
            <v>39</v>
          </cell>
          <cell r="AD42">
            <v>1.0256101352172577</v>
          </cell>
          <cell r="AE42">
            <v>12.86929937841612</v>
          </cell>
        </row>
        <row r="43">
          <cell r="G43">
            <v>40</v>
          </cell>
          <cell r="H43">
            <v>1.3126948687641427</v>
          </cell>
          <cell r="I43">
            <v>1.4988711002396033</v>
          </cell>
          <cell r="J43">
            <v>1.8719670617224289</v>
          </cell>
          <cell r="K43">
            <v>0.91456856412163356</v>
          </cell>
          <cell r="L43">
            <v>2.1660414054648909</v>
          </cell>
          <cell r="M43">
            <v>1.4947925208234418</v>
          </cell>
          <cell r="N43">
            <v>1.5859591781949585</v>
          </cell>
          <cell r="O43">
            <v>1.43938692927564</v>
          </cell>
          <cell r="P43">
            <v>1.2806477475654321</v>
          </cell>
          <cell r="Q43">
            <v>1.7709123179602548</v>
          </cell>
          <cell r="AB43">
            <v>2044</v>
          </cell>
          <cell r="AC43">
            <v>40</v>
          </cell>
          <cell r="AD43">
            <v>1.0564169980106364</v>
          </cell>
          <cell r="AE43">
            <v>13.059961684844618</v>
          </cell>
        </row>
        <row r="44">
          <cell r="G44">
            <v>41</v>
          </cell>
          <cell r="H44">
            <v>1.3275971284540824</v>
          </cell>
          <cell r="I44">
            <v>1.5156976717964192</v>
          </cell>
          <cell r="J44">
            <v>1.8938111450643094</v>
          </cell>
          <cell r="K44">
            <v>0.92531506944517217</v>
          </cell>
          <cell r="L44">
            <v>2.1902404025704518</v>
          </cell>
          <cell r="M44">
            <v>1.5117564636626757</v>
          </cell>
          <cell r="N44">
            <v>1.6040843889707095</v>
          </cell>
          <cell r="O44">
            <v>1.4558926568319039</v>
          </cell>
          <cell r="P44">
            <v>1.2952731603289684</v>
          </cell>
          <cell r="Q44">
            <v>1.7903062170109147</v>
          </cell>
          <cell r="AB44">
            <v>2045</v>
          </cell>
          <cell r="AC44">
            <v>41</v>
          </cell>
          <cell r="AD44">
            <v>1.0863265735381884</v>
          </cell>
          <cell r="AE44">
            <v>13.246703176327733</v>
          </cell>
        </row>
        <row r="45">
          <cell r="G45">
            <v>42</v>
          </cell>
          <cell r="H45">
            <v>1.3424993881440221</v>
          </cell>
          <cell r="I45">
            <v>1.5325242433532351</v>
          </cell>
          <cell r="J45">
            <v>1.9156552284061898</v>
          </cell>
          <cell r="K45">
            <v>0.93606157476871077</v>
          </cell>
          <cell r="L45">
            <v>2.2144393996760128</v>
          </cell>
          <cell r="M45">
            <v>1.5287204065019095</v>
          </cell>
          <cell r="N45">
            <v>1.6222095997464605</v>
          </cell>
          <cell r="O45">
            <v>1.4723983843881678</v>
          </cell>
          <cell r="P45">
            <v>1.3098985730925048</v>
          </cell>
          <cell r="Q45">
            <v>1.8097001160615747</v>
          </cell>
          <cell r="AB45">
            <v>2046</v>
          </cell>
          <cell r="AC45">
            <v>42</v>
          </cell>
          <cell r="AD45">
            <v>1.1153649963804719</v>
          </cell>
          <cell r="AE45">
            <v>13.429629198553531</v>
          </cell>
        </row>
        <row r="46">
          <cell r="G46">
            <v>43</v>
          </cell>
          <cell r="H46">
            <v>1.3574016478339619</v>
          </cell>
          <cell r="I46">
            <v>1.549350814910051</v>
          </cell>
          <cell r="J46">
            <v>1.9374993117480703</v>
          </cell>
          <cell r="K46">
            <v>0.94680808009224937</v>
          </cell>
          <cell r="L46">
            <v>2.2386383967815737</v>
          </cell>
          <cell r="M46">
            <v>1.5456843493411434</v>
          </cell>
          <cell r="N46">
            <v>1.6403348105222115</v>
          </cell>
          <cell r="O46">
            <v>1.4889041119444317</v>
          </cell>
          <cell r="P46">
            <v>1.3245239858560411</v>
          </cell>
          <cell r="Q46">
            <v>1.8290940151122346</v>
          </cell>
          <cell r="AB46">
            <v>2047</v>
          </cell>
          <cell r="AC46">
            <v>43</v>
          </cell>
          <cell r="AD46">
            <v>1.1435576399166696</v>
          </cell>
          <cell r="AE46">
            <v>13.608841159714657</v>
          </cell>
        </row>
        <row r="47">
          <cell r="G47">
            <v>44</v>
          </cell>
          <cell r="H47">
            <v>1.3723039075239016</v>
          </cell>
          <cell r="I47">
            <v>1.5661773864668669</v>
          </cell>
          <cell r="J47">
            <v>1.9593433950899508</v>
          </cell>
          <cell r="K47">
            <v>0.95755458541578797</v>
          </cell>
          <cell r="L47">
            <v>2.2628373938871347</v>
          </cell>
          <cell r="M47">
            <v>1.5626482921803773</v>
          </cell>
          <cell r="N47">
            <v>1.6584600212979625</v>
          </cell>
          <cell r="O47">
            <v>1.5054098395006956</v>
          </cell>
          <cell r="P47">
            <v>1.3391493986195775</v>
          </cell>
          <cell r="Q47">
            <v>1.8484879141628945</v>
          </cell>
          <cell r="AB47">
            <v>2048</v>
          </cell>
          <cell r="AC47">
            <v>44</v>
          </cell>
          <cell r="AD47">
            <v>1.1709291384955023</v>
          </cell>
          <cell r="AE47">
            <v>13.784436703334352</v>
          </cell>
        </row>
        <row r="48">
          <cell r="G48">
            <v>45</v>
          </cell>
          <cell r="H48">
            <v>1.3872061672138414</v>
          </cell>
          <cell r="I48">
            <v>1.5830039580236828</v>
          </cell>
          <cell r="J48">
            <v>1.9811874784318313</v>
          </cell>
          <cell r="K48">
            <v>0.96830109073932658</v>
          </cell>
          <cell r="L48">
            <v>2.2870363909926956</v>
          </cell>
          <cell r="M48">
            <v>1.5796122350196111</v>
          </cell>
          <cell r="N48">
            <v>1.6765852320737136</v>
          </cell>
          <cell r="O48">
            <v>1.5219155670569595</v>
          </cell>
          <cell r="P48">
            <v>1.3537748113831138</v>
          </cell>
          <cell r="Q48">
            <v>1.8678818132135544</v>
          </cell>
          <cell r="AB48">
            <v>2049</v>
          </cell>
          <cell r="AC48">
            <v>45</v>
          </cell>
          <cell r="AD48">
            <v>1.1975034089603884</v>
          </cell>
          <cell r="AE48">
            <v>13.95650987340915</v>
          </cell>
        </row>
        <row r="49">
          <cell r="G49">
            <v>46</v>
          </cell>
          <cell r="H49">
            <v>1.4021084269037811</v>
          </cell>
          <cell r="I49">
            <v>1.5998305295804987</v>
          </cell>
          <cell r="J49">
            <v>2.0030315617737116</v>
          </cell>
          <cell r="K49">
            <v>0.97904759606286518</v>
          </cell>
          <cell r="L49">
            <v>2.3112353880982566</v>
          </cell>
          <cell r="M49">
            <v>1.596576177858845</v>
          </cell>
          <cell r="N49">
            <v>1.6947104428494646</v>
          </cell>
          <cell r="O49">
            <v>1.5384212946132234</v>
          </cell>
          <cell r="P49">
            <v>1.3684002241466502</v>
          </cell>
          <cell r="Q49">
            <v>1.8872757122642143</v>
          </cell>
          <cell r="AB49">
            <v>2050</v>
          </cell>
          <cell r="AC49">
            <v>46</v>
          </cell>
          <cell r="AD49">
            <v>1.2233036715476564</v>
          </cell>
          <cell r="AE49">
            <v>14.125151272197067</v>
          </cell>
        </row>
        <row r="50">
          <cell r="G50">
            <v>47</v>
          </cell>
          <cell r="H50">
            <v>1.4170106865937209</v>
          </cell>
          <cell r="I50">
            <v>1.6166571011373145</v>
          </cell>
          <cell r="J50">
            <v>2.0248756451155918</v>
          </cell>
          <cell r="K50">
            <v>0.98979410138640378</v>
          </cell>
          <cell r="L50">
            <v>2.3354343852038175</v>
          </cell>
          <cell r="M50">
            <v>1.6135401206980788</v>
          </cell>
          <cell r="N50">
            <v>1.7128356536252156</v>
          </cell>
          <cell r="O50">
            <v>1.5549270221694873</v>
          </cell>
          <cell r="P50">
            <v>1.3830256369101865</v>
          </cell>
          <cell r="Q50">
            <v>1.9066696113148742</v>
          </cell>
          <cell r="AB50">
            <v>2051</v>
          </cell>
          <cell r="AC50">
            <v>47</v>
          </cell>
          <cell r="AD50">
            <v>1.248352470176072</v>
          </cell>
          <cell r="AE50">
            <v>14.290448210966655</v>
          </cell>
        </row>
        <row r="51">
          <cell r="G51">
            <v>48</v>
          </cell>
          <cell r="H51">
            <v>1.4319129462836606</v>
          </cell>
          <cell r="I51">
            <v>1.6334836726941304</v>
          </cell>
          <cell r="J51">
            <v>2.0467197284574721</v>
          </cell>
          <cell r="K51">
            <v>1.0005406067099425</v>
          </cell>
          <cell r="L51">
            <v>2.3596333823093785</v>
          </cell>
          <cell r="M51">
            <v>1.6305040635373127</v>
          </cell>
          <cell r="N51">
            <v>1.7309608644009666</v>
          </cell>
          <cell r="O51">
            <v>1.5714327497257512</v>
          </cell>
          <cell r="P51">
            <v>1.3976510496737229</v>
          </cell>
          <cell r="Q51">
            <v>1.9260635103655341</v>
          </cell>
          <cell r="AB51">
            <v>2052</v>
          </cell>
          <cell r="AC51">
            <v>48</v>
          </cell>
          <cell r="AD51">
            <v>1.2726716921454075</v>
          </cell>
          <cell r="AE51">
            <v>14.45248485400934</v>
          </cell>
        </row>
        <row r="52">
          <cell r="G52">
            <v>49</v>
          </cell>
          <cell r="H52">
            <v>1.4468152059736004</v>
          </cell>
          <cell r="I52">
            <v>1.6503102442509463</v>
          </cell>
          <cell r="J52">
            <v>2.0685638117993523</v>
          </cell>
          <cell r="K52">
            <v>1.0112871120334812</v>
          </cell>
          <cell r="L52">
            <v>2.3838323794149394</v>
          </cell>
          <cell r="M52">
            <v>1.6474680063765466</v>
          </cell>
          <cell r="N52">
            <v>1.7490860751767177</v>
          </cell>
          <cell r="O52">
            <v>1.5879384772820151</v>
          </cell>
          <cell r="P52">
            <v>1.4122764624372592</v>
          </cell>
          <cell r="Q52">
            <v>1.9454574094161941</v>
          </cell>
          <cell r="AB52">
            <v>2053</v>
          </cell>
          <cell r="AC52">
            <v>49</v>
          </cell>
          <cell r="AD52">
            <v>1.2962825872612673</v>
          </cell>
          <cell r="AE52">
            <v>14.611342356205071</v>
          </cell>
        </row>
        <row r="53">
          <cell r="G53">
            <v>50</v>
          </cell>
          <cell r="H53">
            <v>1.4617174656635397</v>
          </cell>
          <cell r="I53">
            <v>1.6671368158077626</v>
          </cell>
          <cell r="J53">
            <v>2.090407895141233</v>
          </cell>
          <cell r="K53">
            <v>1.0220336173570197</v>
          </cell>
          <cell r="L53">
            <v>2.4080313765204981</v>
          </cell>
          <cell r="M53">
            <v>1.6644319492157797</v>
          </cell>
          <cell r="N53">
            <v>1.7672112859524687</v>
          </cell>
          <cell r="O53">
            <v>1.6044442048382794</v>
          </cell>
          <cell r="P53">
            <v>1.4269018752007956</v>
          </cell>
          <cell r="Q53">
            <v>1.9648513084668549</v>
          </cell>
          <cell r="AB53">
            <v>2054</v>
          </cell>
          <cell r="AC53">
            <v>50</v>
          </cell>
          <cell r="AD53">
            <v>1.3192057864028788</v>
          </cell>
          <cell r="AE53">
            <v>14.767098994419424</v>
          </cell>
        </row>
        <row r="54">
          <cell r="G54">
            <v>51</v>
          </cell>
          <cell r="H54">
            <v>1.4728061458109447</v>
          </cell>
          <cell r="I54">
            <v>1.6796573640695842</v>
          </cell>
          <cell r="J54">
            <v>2.1066619445384736</v>
          </cell>
          <cell r="K54">
            <v>1.0300300267741571</v>
          </cell>
          <cell r="L54">
            <v>2.4260376930721765</v>
          </cell>
          <cell r="M54">
            <v>1.6770547123335282</v>
          </cell>
          <cell r="N54">
            <v>1.7806981428778381</v>
          </cell>
          <cell r="O54">
            <v>1.616726013096955</v>
          </cell>
          <cell r="P54">
            <v>1.4377845550413613</v>
          </cell>
          <cell r="Q54">
            <v>1.9792821890333725</v>
          </cell>
          <cell r="AB54">
            <v>2055</v>
          </cell>
          <cell r="AC54">
            <v>51</v>
          </cell>
          <cell r="AD54">
            <v>1.3414613195500742</v>
          </cell>
          <cell r="AE54">
            <v>14.91983029299875</v>
          </cell>
        </row>
        <row r="55">
          <cell r="G55">
            <v>52</v>
          </cell>
          <cell r="H55">
            <v>1.4838948259583498</v>
          </cell>
          <cell r="I55">
            <v>1.6921779123314058</v>
          </cell>
          <cell r="J55">
            <v>2.1229159939357141</v>
          </cell>
          <cell r="K55">
            <v>1.0380264361912945</v>
          </cell>
          <cell r="L55">
            <v>2.4440440096238549</v>
          </cell>
          <cell r="M55">
            <v>1.6896774754512767</v>
          </cell>
          <cell r="N55">
            <v>1.7941849998032076</v>
          </cell>
          <cell r="O55">
            <v>1.6290078213556307</v>
          </cell>
          <cell r="P55">
            <v>1.4486672348819269</v>
          </cell>
          <cell r="Q55">
            <v>1.9937130695998901</v>
          </cell>
          <cell r="AB55">
            <v>2056</v>
          </cell>
          <cell r="AC55">
            <v>52</v>
          </cell>
          <cell r="AD55">
            <v>1.3630686332852155</v>
          </cell>
          <cell r="AE55">
            <v>15.069609143619083</v>
          </cell>
        </row>
        <row r="56">
          <cell r="G56">
            <v>53</v>
          </cell>
          <cell r="H56">
            <v>1.4949835061057548</v>
          </cell>
          <cell r="I56">
            <v>1.7046984605932274</v>
          </cell>
          <cell r="J56">
            <v>2.1391700433329546</v>
          </cell>
          <cell r="K56">
            <v>1.046022845608432</v>
          </cell>
          <cell r="L56">
            <v>2.4620503261755333</v>
          </cell>
          <cell r="M56">
            <v>1.7023002385690251</v>
          </cell>
          <cell r="N56">
            <v>1.807671856728577</v>
          </cell>
          <cell r="O56">
            <v>1.6412896296143065</v>
          </cell>
          <cell r="P56">
            <v>1.4595499147224926</v>
          </cell>
          <cell r="Q56">
            <v>2.0081439501664078</v>
          </cell>
          <cell r="AB56">
            <v>2057</v>
          </cell>
          <cell r="AC56">
            <v>53</v>
          </cell>
          <cell r="AD56">
            <v>1.3840466077853526</v>
          </cell>
          <cell r="AE56">
            <v>15.216505919733851</v>
          </cell>
        </row>
        <row r="57">
          <cell r="G57">
            <v>54</v>
          </cell>
          <cell r="H57">
            <v>1.5060721862531599</v>
          </cell>
          <cell r="I57">
            <v>1.717219008855049</v>
          </cell>
          <cell r="J57">
            <v>2.1554240927301951</v>
          </cell>
          <cell r="K57">
            <v>1.0540192550255694</v>
          </cell>
          <cell r="L57">
            <v>2.4800566427272117</v>
          </cell>
          <cell r="M57">
            <v>1.7149230016867736</v>
          </cell>
          <cell r="N57">
            <v>1.8211587136539464</v>
          </cell>
          <cell r="O57">
            <v>1.6535714378729822</v>
          </cell>
          <cell r="P57">
            <v>1.4704325945630583</v>
          </cell>
          <cell r="Q57">
            <v>2.0225748307329252</v>
          </cell>
          <cell r="AB57">
            <v>2058</v>
          </cell>
          <cell r="AC57">
            <v>54</v>
          </cell>
          <cell r="AD57">
            <v>1.4044135733194665</v>
          </cell>
          <cell r="AE57">
            <v>15.360588585855382</v>
          </cell>
        </row>
        <row r="58">
          <cell r="G58">
            <v>55</v>
          </cell>
          <cell r="H58">
            <v>1.5171608664005649</v>
          </cell>
          <cell r="I58">
            <v>1.7297395571168706</v>
          </cell>
          <cell r="J58">
            <v>2.1716781421274356</v>
          </cell>
          <cell r="K58">
            <v>1.0620156644427068</v>
          </cell>
          <cell r="L58">
            <v>2.4980629592788901</v>
          </cell>
          <cell r="M58">
            <v>1.727545764804522</v>
          </cell>
          <cell r="N58">
            <v>1.8346455705793159</v>
          </cell>
          <cell r="O58">
            <v>1.665853246131658</v>
          </cell>
          <cell r="P58">
            <v>1.481315274403624</v>
          </cell>
          <cell r="Q58">
            <v>2.0370057112994426</v>
          </cell>
          <cell r="AB58">
            <v>2059</v>
          </cell>
          <cell r="AC58">
            <v>55</v>
          </cell>
          <cell r="AD58">
            <v>1.4241873262652081</v>
          </cell>
          <cell r="AE58">
            <v>15.501922801895329</v>
          </cell>
        </row>
        <row r="59">
          <cell r="G59">
            <v>56</v>
          </cell>
          <cell r="H59">
            <v>1.52824954654797</v>
          </cell>
          <cell r="I59">
            <v>1.7422601053786921</v>
          </cell>
          <cell r="J59">
            <v>2.1879321915246761</v>
          </cell>
          <cell r="K59">
            <v>1.0700120738598442</v>
          </cell>
          <cell r="L59">
            <v>2.5160692758305685</v>
          </cell>
          <cell r="M59">
            <v>1.7401685279222705</v>
          </cell>
          <cell r="N59">
            <v>1.8481324275046853</v>
          </cell>
          <cell r="O59">
            <v>1.6781350543903337</v>
          </cell>
          <cell r="P59">
            <v>1.4921979542441897</v>
          </cell>
          <cell r="Q59">
            <v>2.0514365918659601</v>
          </cell>
          <cell r="AB59">
            <v>2060</v>
          </cell>
          <cell r="AC59">
            <v>56</v>
          </cell>
          <cell r="AD59">
            <v>1.4433851446591319</v>
          </cell>
          <cell r="AE59">
            <v>15.640572022779946</v>
          </cell>
        </row>
        <row r="60">
          <cell r="G60">
            <v>57</v>
          </cell>
          <cell r="H60">
            <v>1.539338226695375</v>
          </cell>
          <cell r="I60">
            <v>1.7547806536405137</v>
          </cell>
          <cell r="J60">
            <v>2.2041862409219166</v>
          </cell>
          <cell r="K60">
            <v>1.0780084832769816</v>
          </cell>
          <cell r="L60">
            <v>2.5340755923822469</v>
          </cell>
          <cell r="M60">
            <v>1.752791291040019</v>
          </cell>
          <cell r="N60">
            <v>1.8616192844300548</v>
          </cell>
          <cell r="O60">
            <v>1.6904168626490095</v>
          </cell>
          <cell r="P60">
            <v>1.5030806340847553</v>
          </cell>
          <cell r="Q60">
            <v>2.0658674724324775</v>
          </cell>
          <cell r="AB60">
            <v>2061</v>
          </cell>
          <cell r="AC60">
            <v>57</v>
          </cell>
          <cell r="AD60">
            <v>1.4620238032940094</v>
          </cell>
          <cell r="AE60">
            <v>15.776597593546995</v>
          </cell>
        </row>
        <row r="61">
          <cell r="G61">
            <v>58</v>
          </cell>
          <cell r="H61">
            <v>1.5504269068427801</v>
          </cell>
          <cell r="I61">
            <v>1.7673012019023353</v>
          </cell>
          <cell r="J61">
            <v>2.2204402903191571</v>
          </cell>
          <cell r="K61">
            <v>1.086004892694119</v>
          </cell>
          <cell r="L61">
            <v>2.5520819089339253</v>
          </cell>
          <cell r="M61">
            <v>1.7654140541577674</v>
          </cell>
          <cell r="N61">
            <v>1.8751061413554242</v>
          </cell>
          <cell r="O61">
            <v>1.7026986709076852</v>
          </cell>
          <cell r="P61">
            <v>1.513963313925321</v>
          </cell>
          <cell r="Q61">
            <v>2.0802983529989949</v>
          </cell>
          <cell r="AB61">
            <v>2062</v>
          </cell>
          <cell r="AC61">
            <v>58</v>
          </cell>
          <cell r="AD61">
            <v>1.4801195883764147</v>
          </cell>
          <cell r="AE61">
            <v>15.910058840122545</v>
          </cell>
        </row>
        <row r="62">
          <cell r="G62">
            <v>59</v>
          </cell>
          <cell r="H62">
            <v>1.5615155869901851</v>
          </cell>
          <cell r="I62">
            <v>1.7798217501641569</v>
          </cell>
          <cell r="J62">
            <v>2.2366943397163976</v>
          </cell>
          <cell r="K62">
            <v>1.0940013021112565</v>
          </cell>
          <cell r="L62">
            <v>2.5700882254856037</v>
          </cell>
          <cell r="M62">
            <v>1.7780368172755159</v>
          </cell>
          <cell r="N62">
            <v>1.8885929982807936</v>
          </cell>
          <cell r="O62">
            <v>1.714980479166361</v>
          </cell>
          <cell r="P62">
            <v>1.5248459937658867</v>
          </cell>
          <cell r="Q62">
            <v>2.0947292335655123</v>
          </cell>
          <cell r="AB62">
            <v>2063</v>
          </cell>
          <cell r="AC62">
            <v>59</v>
          </cell>
          <cell r="AD62">
            <v>1.4976883117573907</v>
          </cell>
          <cell r="AE62">
            <v>16.041013155967622</v>
          </cell>
        </row>
        <row r="63">
          <cell r="G63">
            <v>60</v>
          </cell>
          <cell r="H63">
            <v>1.5726042671375908</v>
          </cell>
          <cell r="I63">
            <v>1.7923422984259791</v>
          </cell>
          <cell r="J63">
            <v>2.2529483891136377</v>
          </cell>
          <cell r="K63">
            <v>1.101997711528393</v>
          </cell>
          <cell r="L63">
            <v>2.5880945420372816</v>
          </cell>
          <cell r="M63">
            <v>1.7906595803932654</v>
          </cell>
          <cell r="N63">
            <v>1.9020798552061629</v>
          </cell>
          <cell r="O63">
            <v>1.7272622874250358</v>
          </cell>
          <cell r="P63">
            <v>1.5357286736064515</v>
          </cell>
          <cell r="Q63">
            <v>2.1091601141320306</v>
          </cell>
          <cell r="AB63">
            <v>2064</v>
          </cell>
          <cell r="AC63">
            <v>60</v>
          </cell>
          <cell r="AD63">
            <v>1.5147453247486296</v>
          </cell>
          <cell r="AE63">
            <v>16.169516084776674</v>
          </cell>
        </row>
        <row r="64">
          <cell r="G64">
            <v>61</v>
          </cell>
          <cell r="H64">
            <v>1.580855287566709</v>
          </cell>
          <cell r="I64">
            <v>1.8016587614695805</v>
          </cell>
          <cell r="J64">
            <v>2.2650429269098589</v>
          </cell>
          <cell r="K64">
            <v>1.1079477908328321</v>
          </cell>
          <cell r="L64">
            <v>2.6014929345410573</v>
          </cell>
          <cell r="M64">
            <v>1.800052103715017</v>
          </cell>
          <cell r="N64">
            <v>1.9121153458220792</v>
          </cell>
          <cell r="O64">
            <v>1.7364011118980802</v>
          </cell>
          <cell r="P64">
            <v>1.5438264119137151</v>
          </cell>
          <cell r="Q64">
            <v>2.1198980468024176</v>
          </cell>
          <cell r="AB64">
            <v>2065</v>
          </cell>
          <cell r="AC64">
            <v>61</v>
          </cell>
          <cell r="AD64">
            <v>1.53130553153624</v>
          </cell>
          <cell r="AE64">
            <v>16.295621399402215</v>
          </cell>
        </row>
        <row r="65">
          <cell r="G65">
            <v>62</v>
          </cell>
          <cell r="H65">
            <v>1.5891063079958272</v>
          </cell>
          <cell r="I65">
            <v>1.8109752245131818</v>
          </cell>
          <cell r="J65">
            <v>2.27713746470608</v>
          </cell>
          <cell r="K65">
            <v>1.1138978701372713</v>
          </cell>
          <cell r="L65">
            <v>2.6148913270448331</v>
          </cell>
          <cell r="M65">
            <v>1.8094446270367686</v>
          </cell>
          <cell r="N65">
            <v>1.9221508364379956</v>
          </cell>
          <cell r="O65">
            <v>1.7455399363711246</v>
          </cell>
          <cell r="P65">
            <v>1.5519241502209786</v>
          </cell>
          <cell r="Q65">
            <v>2.1306359794728045</v>
          </cell>
          <cell r="AB65">
            <v>2066</v>
          </cell>
          <cell r="AC65">
            <v>62</v>
          </cell>
          <cell r="AD65">
            <v>1.5473834022038231</v>
          </cell>
          <cell r="AE65">
            <v>16.41938117717271</v>
          </cell>
        </row>
        <row r="66">
          <cell r="G66">
            <v>63</v>
          </cell>
          <cell r="H66">
            <v>1.5973573284249454</v>
          </cell>
          <cell r="I66">
            <v>1.8202916875567832</v>
          </cell>
          <cell r="J66">
            <v>2.2892320025023012</v>
          </cell>
          <cell r="K66">
            <v>1.1198479494417104</v>
          </cell>
          <cell r="L66">
            <v>2.6282897195486088</v>
          </cell>
          <cell r="M66">
            <v>1.8188371503585201</v>
          </cell>
          <cell r="N66">
            <v>1.9321863270539119</v>
          </cell>
          <cell r="O66">
            <v>1.754678760844169</v>
          </cell>
          <cell r="P66">
            <v>1.5600218885282422</v>
          </cell>
          <cell r="Q66">
            <v>2.1413739121431914</v>
          </cell>
          <cell r="AB66">
            <v>2067</v>
          </cell>
          <cell r="AC66">
            <v>63</v>
          </cell>
          <cell r="AD66">
            <v>1.5629929853762339</v>
          </cell>
          <cell r="AE66">
            <v>16.540845871763661</v>
          </cell>
        </row>
        <row r="67">
          <cell r="G67">
            <v>64</v>
          </cell>
          <cell r="H67">
            <v>1.6056083488540636</v>
          </cell>
          <cell r="I67">
            <v>1.8296081506003845</v>
          </cell>
          <cell r="J67">
            <v>2.3013265402985223</v>
          </cell>
          <cell r="K67">
            <v>1.1257980287461495</v>
          </cell>
          <cell r="L67">
            <v>2.6416881120523845</v>
          </cell>
          <cell r="M67">
            <v>1.8282296736802717</v>
          </cell>
          <cell r="N67">
            <v>1.9422218176698283</v>
          </cell>
          <cell r="O67">
            <v>1.7638175853172133</v>
          </cell>
          <cell r="P67">
            <v>1.5681196268355058</v>
          </cell>
          <cell r="Q67">
            <v>2.1521118448135783</v>
          </cell>
          <cell r="AB67">
            <v>2068</v>
          </cell>
          <cell r="AC67">
            <v>64</v>
          </cell>
          <cell r="AD67">
            <v>1.5781479204950792</v>
          </cell>
          <cell r="AE67">
            <v>16.660064381775157</v>
          </cell>
        </row>
        <row r="68">
          <cell r="G68">
            <v>65</v>
          </cell>
          <cell r="H68">
            <v>1.6138593692831817</v>
          </cell>
          <cell r="I68">
            <v>1.8389246136439859</v>
          </cell>
          <cell r="J68">
            <v>2.3134210780947435</v>
          </cell>
          <cell r="K68">
            <v>1.1317481080505887</v>
          </cell>
          <cell r="L68">
            <v>2.6550865045561602</v>
          </cell>
          <cell r="M68">
            <v>1.8376221970020232</v>
          </cell>
          <cell r="N68">
            <v>1.9522573082857446</v>
          </cell>
          <cell r="O68">
            <v>1.7729564097902577</v>
          </cell>
          <cell r="P68">
            <v>1.5762173651427693</v>
          </cell>
          <cell r="Q68">
            <v>2.1628497774839652</v>
          </cell>
          <cell r="AB68">
            <v>2069</v>
          </cell>
          <cell r="AC68">
            <v>65</v>
          </cell>
          <cell r="AD68">
            <v>1.5928614497366766</v>
          </cell>
          <cell r="AE68">
            <v>16.777084116162651</v>
          </cell>
        </row>
        <row r="69">
          <cell r="G69">
            <v>66</v>
          </cell>
          <cell r="H69">
            <v>1.6221103897122999</v>
          </cell>
          <cell r="I69">
            <v>1.8482410766875872</v>
          </cell>
          <cell r="J69">
            <v>2.3255156158909647</v>
          </cell>
          <cell r="K69">
            <v>1.1376981873550278</v>
          </cell>
          <cell r="L69">
            <v>2.668484897059936</v>
          </cell>
          <cell r="M69">
            <v>1.8470147203237748</v>
          </cell>
          <cell r="N69">
            <v>1.962292798901661</v>
          </cell>
          <cell r="O69">
            <v>1.7820952342633021</v>
          </cell>
          <cell r="P69">
            <v>1.5843151034500329</v>
          </cell>
          <cell r="Q69">
            <v>2.1735877101543521</v>
          </cell>
          <cell r="AB69">
            <v>2070</v>
          </cell>
          <cell r="AC69">
            <v>66</v>
          </cell>
          <cell r="AD69">
            <v>1.6071464295828877</v>
          </cell>
          <cell r="AE69">
            <v>16.891951056661519</v>
          </cell>
        </row>
        <row r="70">
          <cell r="G70">
            <v>67</v>
          </cell>
          <cell r="H70">
            <v>1.6303614101414181</v>
          </cell>
          <cell r="I70">
            <v>1.8575575397311885</v>
          </cell>
          <cell r="J70">
            <v>2.3376101536871858</v>
          </cell>
          <cell r="K70">
            <v>1.1436482666594669</v>
          </cell>
          <cell r="L70">
            <v>2.6818832895637117</v>
          </cell>
          <cell r="M70">
            <v>1.8564072436455263</v>
          </cell>
          <cell r="N70">
            <v>1.9723282895175773</v>
          </cell>
          <cell r="O70">
            <v>1.7912340587363464</v>
          </cell>
          <cell r="P70">
            <v>1.5924128417572965</v>
          </cell>
          <cell r="Q70">
            <v>2.1843256428247391</v>
          </cell>
          <cell r="AB70">
            <v>2071</v>
          </cell>
          <cell r="AC70">
            <v>67</v>
          </cell>
          <cell r="AD70">
            <v>1.6210153420549374</v>
          </cell>
          <cell r="AE70">
            <v>17.004709817339968</v>
          </cell>
        </row>
        <row r="71">
          <cell r="G71">
            <v>68</v>
          </cell>
          <cell r="H71">
            <v>1.6386124305705363</v>
          </cell>
          <cell r="I71">
            <v>1.8668740027747899</v>
          </cell>
          <cell r="J71">
            <v>2.349704691483407</v>
          </cell>
          <cell r="K71">
            <v>1.1495983459639061</v>
          </cell>
          <cell r="L71">
            <v>2.6952816820674874</v>
          </cell>
          <cell r="M71">
            <v>1.8657997669672779</v>
          </cell>
          <cell r="N71">
            <v>1.9823637801334937</v>
          </cell>
          <cell r="O71">
            <v>1.8003728832093908</v>
          </cell>
          <cell r="P71">
            <v>1.60051058006456</v>
          </cell>
          <cell r="Q71">
            <v>2.195063575495126</v>
          </cell>
          <cell r="AB71">
            <v>2072</v>
          </cell>
          <cell r="AC71">
            <v>68</v>
          </cell>
          <cell r="AD71">
            <v>1.6344803056200341</v>
          </cell>
          <cell r="AE71">
            <v>17.115403701409186</v>
          </cell>
        </row>
        <row r="72">
          <cell r="G72">
            <v>69</v>
          </cell>
          <cell r="H72">
            <v>1.6468634509996545</v>
          </cell>
          <cell r="I72">
            <v>1.8761904658183912</v>
          </cell>
          <cell r="J72">
            <v>2.3617992292796282</v>
          </cell>
          <cell r="K72">
            <v>1.1555484252683452</v>
          </cell>
          <cell r="L72">
            <v>2.7086800745712631</v>
          </cell>
          <cell r="M72">
            <v>1.8751922902890295</v>
          </cell>
          <cell r="N72">
            <v>1.99239927074941</v>
          </cell>
          <cell r="O72">
            <v>1.8095117076824352</v>
          </cell>
          <cell r="P72">
            <v>1.6086083183718236</v>
          </cell>
          <cell r="Q72">
            <v>2.2058015081655129</v>
          </cell>
          <cell r="AB72">
            <v>2073</v>
          </cell>
          <cell r="AC72">
            <v>69</v>
          </cell>
          <cell r="AD72">
            <v>1.6475530857803222</v>
          </cell>
          <cell r="AE72">
            <v>17.22407475541403</v>
          </cell>
        </row>
        <row r="73">
          <cell r="G73">
            <v>70</v>
          </cell>
          <cell r="H73">
            <v>1.6551144714287733</v>
          </cell>
          <cell r="I73">
            <v>1.8855069288619923</v>
          </cell>
          <cell r="J73">
            <v>2.3738937670758498</v>
          </cell>
          <cell r="K73">
            <v>1.1614985045727844</v>
          </cell>
          <cell r="L73">
            <v>2.7220784670750406</v>
          </cell>
          <cell r="M73">
            <v>1.8845848136107806</v>
          </cell>
          <cell r="N73">
            <v>2.0024347613653259</v>
          </cell>
          <cell r="O73">
            <v>1.8186505321554804</v>
          </cell>
          <cell r="P73">
            <v>1.6167060566790872</v>
          </cell>
          <cell r="Q73">
            <v>2.2165394408359003</v>
          </cell>
          <cell r="AB73">
            <v>2074</v>
          </cell>
          <cell r="AC73">
            <v>70</v>
          </cell>
          <cell r="AD73">
            <v>1.6602451053534175</v>
          </cell>
          <cell r="AE73">
            <v>17.330763820922417</v>
          </cell>
        </row>
        <row r="74">
          <cell r="G74">
            <v>71</v>
          </cell>
          <cell r="H74">
            <v>1.6633654918578922</v>
          </cell>
          <cell r="I74">
            <v>1.8948233919055935</v>
          </cell>
          <cell r="J74">
            <v>2.3859883048720714</v>
          </cell>
          <cell r="K74">
            <v>1.1674485838772235</v>
          </cell>
          <cell r="L74">
            <v>2.7354768595788181</v>
          </cell>
          <cell r="M74">
            <v>1.8939773369325317</v>
          </cell>
          <cell r="N74">
            <v>2.0124702519812416</v>
          </cell>
          <cell r="O74">
            <v>1.8277893566285257</v>
          </cell>
          <cell r="P74">
            <v>1.6248037949863507</v>
          </cell>
          <cell r="Q74">
            <v>2.2272773735062876</v>
          </cell>
          <cell r="AB74">
            <v>2075</v>
          </cell>
          <cell r="AC74">
            <v>71</v>
          </cell>
          <cell r="AD74">
            <v>1.6725674544535098</v>
          </cell>
          <cell r="AE74">
            <v>17.435510583826421</v>
          </cell>
        </row>
        <row r="75">
          <cell r="AB75">
            <v>2076</v>
          </cell>
          <cell r="AC75">
            <v>72</v>
          </cell>
          <cell r="AD75">
            <v>1.6845309001817552</v>
          </cell>
          <cell r="AE75">
            <v>17.538353621363228</v>
          </cell>
        </row>
        <row r="76">
          <cell r="AB76">
            <v>2077</v>
          </cell>
          <cell r="AC76">
            <v>73</v>
          </cell>
          <cell r="AD76">
            <v>1.6961458960344202</v>
          </cell>
          <cell r="AE76">
            <v>17.63933044695958</v>
          </cell>
        </row>
        <row r="77">
          <cell r="AB77">
            <v>2078</v>
          </cell>
          <cell r="AC77">
            <v>74</v>
          </cell>
          <cell r="AD77">
            <v>1.707422591037008</v>
          </cell>
          <cell r="AE77">
            <v>17.738477552998674</v>
          </cell>
        </row>
        <row r="78">
          <cell r="AB78">
            <v>2079</v>
          </cell>
          <cell r="AC78">
            <v>75</v>
          </cell>
          <cell r="AD78">
            <v>1.7183708386123357</v>
          </cell>
          <cell r="AE78">
            <v>17.835830451604359</v>
          </cell>
        </row>
        <row r="79">
          <cell r="AB79">
            <v>2080</v>
          </cell>
          <cell r="AC79">
            <v>76</v>
          </cell>
          <cell r="AD79">
            <v>1.7290002051903237</v>
          </cell>
          <cell r="AE79">
            <v>17.890024195993831</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 EFF BY MEASURE"/>
      <sheetName val="TOTAL FIRST YEAR"/>
      <sheetName val="Rates&amp;NEB"/>
      <sheetName val="Insulation Calcs"/>
      <sheetName val="Equations"/>
    </sheetNames>
    <sheetDataSet>
      <sheetData sheetId="0" refreshError="1"/>
      <sheetData sheetId="1" refreshError="1"/>
      <sheetData sheetId="2" refreshError="1">
        <row r="5">
          <cell r="B5">
            <v>7.6310000000000003E-2</v>
          </cell>
        </row>
        <row r="7">
          <cell r="B7">
            <v>3.32E-2</v>
          </cell>
        </row>
        <row r="9">
          <cell r="B9">
            <v>4.1700000000000001E-2</v>
          </cell>
        </row>
        <row r="13">
          <cell r="B13">
            <v>0.1</v>
          </cell>
        </row>
      </sheetData>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 val="Sheet1"/>
      <sheetName val="Sheet2"/>
      <sheetName val="Sheet3"/>
    </sheetNames>
    <sheetDataSet>
      <sheetData sheetId="0">
        <row r="5">
          <cell r="A5" t="str">
            <v>CEILING</v>
          </cell>
          <cell r="B5" t="str">
            <v>CEILING INSULATION ZONE 1</v>
          </cell>
          <cell r="C5">
            <v>101.631</v>
          </cell>
          <cell r="D5">
            <v>1007.7348066298341</v>
          </cell>
          <cell r="E5">
            <v>45</v>
          </cell>
          <cell r="F5" t="str">
            <v>Ceiling Insulation</v>
          </cell>
          <cell r="G5" t="str">
            <v>Equal to or Greater than R-38</v>
          </cell>
        </row>
        <row r="6">
          <cell r="A6" t="str">
            <v>CEILING</v>
          </cell>
          <cell r="B6" t="str">
            <v>CEILING INSULATION ZONE 2</v>
          </cell>
          <cell r="C6">
            <v>98.064999999999998</v>
          </cell>
          <cell r="D6">
            <v>1005.7142857142857</v>
          </cell>
          <cell r="E6">
            <v>45</v>
          </cell>
          <cell r="F6" t="str">
            <v>Ceiling Insulation</v>
          </cell>
          <cell r="G6" t="str">
            <v>Equal to or Greater than R-39</v>
          </cell>
        </row>
        <row r="7">
          <cell r="A7" t="str">
            <v>CEILING</v>
          </cell>
          <cell r="B7" t="str">
            <v>CEILING INSULATION ZONE 3</v>
          </cell>
          <cell r="C7">
            <v>115.89500000000001</v>
          </cell>
          <cell r="D7">
            <v>1009.7087378640778</v>
          </cell>
          <cell r="E7">
            <v>45</v>
          </cell>
          <cell r="F7" t="str">
            <v>Ceiling Insulation</v>
          </cell>
          <cell r="G7" t="str">
            <v>Equal to or Greater than R-40</v>
          </cell>
        </row>
        <row r="8">
          <cell r="A8" t="str">
            <v>FLOOR</v>
          </cell>
          <cell r="B8" t="str">
            <v>FLOOR INSULATION ZONE 1</v>
          </cell>
          <cell r="C8">
            <v>101.631</v>
          </cell>
          <cell r="D8">
            <v>1007.7348066298341</v>
          </cell>
          <cell r="E8">
            <v>45</v>
          </cell>
          <cell r="F8" t="str">
            <v>Floor Insulation</v>
          </cell>
          <cell r="G8" t="str">
            <v>Equal to or Greater than R-30 or to fill cavity</v>
          </cell>
        </row>
        <row r="9">
          <cell r="A9" t="str">
            <v>FLOOR</v>
          </cell>
          <cell r="B9" t="str">
            <v>FLOOR INSULATION ZONE 2</v>
          </cell>
          <cell r="C9">
            <v>98.064999999999998</v>
          </cell>
          <cell r="D9">
            <v>1005.7142857142857</v>
          </cell>
          <cell r="E9">
            <v>45</v>
          </cell>
          <cell r="F9" t="str">
            <v>Floor Insulation</v>
          </cell>
          <cell r="G9" t="str">
            <v>Equal to or Greater than R-30 or to fill cavity</v>
          </cell>
        </row>
        <row r="10">
          <cell r="A10" t="str">
            <v>FLOOR</v>
          </cell>
          <cell r="B10" t="str">
            <v>FLOOR INSULATION ZONE 3</v>
          </cell>
          <cell r="C10">
            <v>115.89500000000001</v>
          </cell>
          <cell r="D10">
            <v>1009.7087378640778</v>
          </cell>
          <cell r="E10">
            <v>45</v>
          </cell>
          <cell r="F10" t="str">
            <v>Floor Insulation</v>
          </cell>
          <cell r="G10" t="str">
            <v>Equal to or Greater than R-30 or to fill cavity</v>
          </cell>
        </row>
        <row r="11">
          <cell r="A11" t="str">
            <v>N-A102</v>
          </cell>
          <cell r="B11" t="str">
            <v>MEF 2.0 Washer</v>
          </cell>
          <cell r="C11">
            <v>2.9701291199999935</v>
          </cell>
          <cell r="D11">
            <v>33.200000000000003</v>
          </cell>
          <cell r="E11">
            <v>12</v>
          </cell>
        </row>
        <row r="12">
          <cell r="A12" t="str">
            <v>N-A103</v>
          </cell>
          <cell r="B12" t="str">
            <v>Estar Dishwasher</v>
          </cell>
          <cell r="C12">
            <v>2.5504325100000003</v>
          </cell>
          <cell r="D12">
            <v>38</v>
          </cell>
          <cell r="E12">
            <v>12</v>
          </cell>
        </row>
        <row r="13">
          <cell r="A13" t="str">
            <v>N-A105</v>
          </cell>
          <cell r="B13" t="str">
            <v>Hi-eff Washer</v>
          </cell>
          <cell r="C13">
            <v>3.510152596363632</v>
          </cell>
          <cell r="D13">
            <v>49.8</v>
          </cell>
          <cell r="E13">
            <v>12</v>
          </cell>
        </row>
        <row r="14">
          <cell r="A14" t="str">
            <v>N-DG101</v>
          </cell>
          <cell r="B14" t="str">
            <v>Tank upgrade (50 gal gas)</v>
          </cell>
          <cell r="C14">
            <v>13.125695216907701</v>
          </cell>
          <cell r="D14">
            <v>350</v>
          </cell>
          <cell r="E14">
            <v>15</v>
          </cell>
        </row>
        <row r="15">
          <cell r="A15" t="str">
            <v>N-DG102</v>
          </cell>
          <cell r="B15" t="str">
            <v>Tank upgrade (50 gal gas) condensing</v>
          </cell>
          <cell r="C15">
            <v>66.238973536487578</v>
          </cell>
          <cell r="D15">
            <v>2500</v>
          </cell>
          <cell r="E15">
            <v>15</v>
          </cell>
        </row>
        <row r="16">
          <cell r="A16" t="str">
            <v>N-DG103</v>
          </cell>
          <cell r="B16" t="str">
            <v>Solar hot water heater (50 gal) - Solar Zone 2.  With gas backup.</v>
          </cell>
          <cell r="C16">
            <v>112.67904509283822</v>
          </cell>
          <cell r="D16">
            <v>3850</v>
          </cell>
          <cell r="E16">
            <v>20</v>
          </cell>
        </row>
        <row r="17">
          <cell r="A17" t="str">
            <v>N-DG104</v>
          </cell>
          <cell r="B17" t="str">
            <v>Tankless Gas heater</v>
          </cell>
          <cell r="C17">
            <v>42.714932126696823</v>
          </cell>
          <cell r="D17">
            <v>800</v>
          </cell>
          <cell r="E17">
            <v>20</v>
          </cell>
          <cell r="F17" t="str">
            <v>.81 Tankless W.H.  (new const. upgrade)</v>
          </cell>
          <cell r="G17" t="str">
            <v>0.81 EF Above Energy Star Home</v>
          </cell>
        </row>
        <row r="18">
          <cell r="A18" t="str">
            <v>N-GD106</v>
          </cell>
          <cell r="B18" t="str">
            <v>Tank upgrade (50 gal gas) Hi Eff Alternative</v>
          </cell>
          <cell r="C18">
            <v>76.847290640394107</v>
          </cell>
          <cell r="D18">
            <v>585</v>
          </cell>
          <cell r="E18">
            <v>15</v>
          </cell>
        </row>
        <row r="19">
          <cell r="A19" t="str">
            <v>N-GD107</v>
          </cell>
          <cell r="B19" t="str">
            <v>Solar hot water heater (50 gal) - With gas backup.</v>
          </cell>
          <cell r="C19">
            <v>116.78425531914893</v>
          </cell>
          <cell r="D19">
            <v>6430.2853608247415</v>
          </cell>
          <cell r="E19">
            <v>20</v>
          </cell>
        </row>
        <row r="20">
          <cell r="A20" t="str">
            <v>N-GD108</v>
          </cell>
          <cell r="B20" t="str">
            <v>Tankless Gas heater</v>
          </cell>
          <cell r="C20">
            <v>94.117647058823479</v>
          </cell>
          <cell r="D20">
            <v>1050</v>
          </cell>
          <cell r="E20">
            <v>20</v>
          </cell>
        </row>
        <row r="21">
          <cell r="A21" t="str">
            <v>N-GD109</v>
          </cell>
          <cell r="B21" t="str">
            <v>Upgrade to Navien Tankless Gas heater</v>
          </cell>
          <cell r="C21">
            <v>13.747521480502304</v>
          </cell>
          <cell r="D21">
            <v>150</v>
          </cell>
          <cell r="E21">
            <v>20</v>
          </cell>
        </row>
        <row r="22">
          <cell r="A22" t="str">
            <v>N-GH129</v>
          </cell>
          <cell r="B22" t="str">
            <v>E* Insulation, Ducts, DHW, Lights (Gas Z 3)</v>
          </cell>
          <cell r="C22">
            <v>172.78918815544239</v>
          </cell>
          <cell r="D22">
            <v>1398</v>
          </cell>
          <cell r="E22">
            <v>45</v>
          </cell>
        </row>
        <row r="23">
          <cell r="A23" t="str">
            <v>N-GH130</v>
          </cell>
          <cell r="B23" t="str">
            <v>Heating upgrade (AFUE 90) (Z 3)</v>
          </cell>
          <cell r="C23">
            <v>84.103236843220017</v>
          </cell>
          <cell r="D23">
            <v>150</v>
          </cell>
          <cell r="E23">
            <v>15</v>
          </cell>
        </row>
        <row r="24">
          <cell r="A24" t="str">
            <v>N-GH131</v>
          </cell>
          <cell r="B24" t="str">
            <v>Window U=.3 (Gas Z 3)</v>
          </cell>
          <cell r="C24">
            <v>19.434999999999999</v>
          </cell>
          <cell r="D24">
            <v>183</v>
          </cell>
          <cell r="E24">
            <v>45</v>
          </cell>
        </row>
        <row r="25">
          <cell r="A25" t="str">
            <v>N-GH132</v>
          </cell>
          <cell r="B25" t="str">
            <v>HRV, E* (Gas Z 3)</v>
          </cell>
          <cell r="C25">
            <v>125.58</v>
          </cell>
          <cell r="D25">
            <v>300</v>
          </cell>
          <cell r="E25">
            <v>15</v>
          </cell>
        </row>
        <row r="26">
          <cell r="A26" t="str">
            <v>N-GH133</v>
          </cell>
          <cell r="B26" t="str">
            <v>Ducts Indoor, DHW, Lights (Gas Z 3)</v>
          </cell>
          <cell r="C26">
            <v>163.10284751802882</v>
          </cell>
          <cell r="D26">
            <v>775</v>
          </cell>
          <cell r="E26">
            <v>45</v>
          </cell>
        </row>
        <row r="27">
          <cell r="A27" t="str">
            <v>N-GH134</v>
          </cell>
          <cell r="B27" t="str">
            <v>E* Insulation, Ducts, DHW, Lights (Gas Z 4)</v>
          </cell>
          <cell r="C27">
            <v>123.52440659565997</v>
          </cell>
          <cell r="D27">
            <v>1398</v>
          </cell>
          <cell r="E27">
            <v>45</v>
          </cell>
        </row>
        <row r="28">
          <cell r="A28" t="str">
            <v>N-GH135</v>
          </cell>
          <cell r="B28" t="str">
            <v>Heating upgrade (AFUE 90) (Z 4)</v>
          </cell>
          <cell r="C28">
            <v>63.400901620273551</v>
          </cell>
          <cell r="D28">
            <v>150</v>
          </cell>
          <cell r="E28">
            <v>15</v>
          </cell>
        </row>
        <row r="29">
          <cell r="A29" t="str">
            <v>N-GH136</v>
          </cell>
          <cell r="B29" t="str">
            <v>Window U=.3 (Gas Z 4)</v>
          </cell>
          <cell r="C29">
            <v>14.651</v>
          </cell>
          <cell r="D29">
            <v>183</v>
          </cell>
          <cell r="E29">
            <v>45</v>
          </cell>
        </row>
        <row r="30">
          <cell r="A30" t="str">
            <v>N-GH137</v>
          </cell>
          <cell r="B30" t="str">
            <v>HRV, E* (Gas Z 4)</v>
          </cell>
          <cell r="C30">
            <v>94.668000000000006</v>
          </cell>
          <cell r="D30">
            <v>300</v>
          </cell>
          <cell r="E30">
            <v>15</v>
          </cell>
        </row>
        <row r="31">
          <cell r="A31" t="str">
            <v>N-GH138</v>
          </cell>
          <cell r="B31" t="str">
            <v>Ducts Indoor, DHW, Lights (Gas Z 4)</v>
          </cell>
          <cell r="C31">
            <v>122.95445428282173</v>
          </cell>
          <cell r="D31">
            <v>775</v>
          </cell>
          <cell r="E31">
            <v>45</v>
          </cell>
        </row>
        <row r="32">
          <cell r="A32" t="str">
            <v>N-GH139</v>
          </cell>
          <cell r="B32" t="str">
            <v>Tank upgrade (50 gal gas)</v>
          </cell>
          <cell r="C32">
            <v>28.921023359288096</v>
          </cell>
          <cell r="D32">
            <v>200</v>
          </cell>
          <cell r="E32">
            <v>15</v>
          </cell>
        </row>
        <row r="33">
          <cell r="A33" t="str">
            <v>N-H101</v>
          </cell>
          <cell r="B33" t="str">
            <v>E* Insulation, Ducts, Zone 1</v>
          </cell>
          <cell r="C33">
            <v>94.5</v>
          </cell>
          <cell r="D33">
            <v>1000</v>
          </cell>
          <cell r="E33">
            <v>30</v>
          </cell>
          <cell r="F33" t="str">
            <v>Energy * Qualified Gas</v>
          </cell>
          <cell r="G33" t="str">
            <v>90% AFUE Rating</v>
          </cell>
        </row>
        <row r="34">
          <cell r="A34" t="str">
            <v>N-H102</v>
          </cell>
          <cell r="B34" t="str">
            <v>E* Insulation, Ducts, Zone 2</v>
          </cell>
          <cell r="C34">
            <v>101.7</v>
          </cell>
          <cell r="D34">
            <v>1000</v>
          </cell>
          <cell r="E34">
            <v>30</v>
          </cell>
          <cell r="F34" t="str">
            <v>Energy * Qualified Gas</v>
          </cell>
          <cell r="G34" t="str">
            <v>90% AFUE Rating</v>
          </cell>
        </row>
        <row r="35">
          <cell r="A35" t="str">
            <v>N-H103</v>
          </cell>
          <cell r="B35" t="str">
            <v>E* Insulation, Ducts, Zone 3</v>
          </cell>
          <cell r="C35">
            <v>126</v>
          </cell>
          <cell r="D35">
            <v>1000</v>
          </cell>
          <cell r="E35">
            <v>30</v>
          </cell>
          <cell r="F35" t="str">
            <v>Energy * Qualified Gas</v>
          </cell>
          <cell r="G35" t="str">
            <v>90% AFUE Rating</v>
          </cell>
        </row>
        <row r="36">
          <cell r="A36" t="str">
            <v>N-H104</v>
          </cell>
          <cell r="B36" t="str">
            <v>Heating upgrade (AFUE 90), Zone 1</v>
          </cell>
          <cell r="C36">
            <v>61.2</v>
          </cell>
          <cell r="D36">
            <v>500</v>
          </cell>
          <cell r="E36">
            <v>18</v>
          </cell>
          <cell r="F36" t="str">
            <v>90% AFUE New Gas Furnace (New)</v>
          </cell>
          <cell r="G36" t="str">
            <v>90% AFUE Rating</v>
          </cell>
        </row>
        <row r="37">
          <cell r="A37" t="str">
            <v>N-H105</v>
          </cell>
          <cell r="B37" t="str">
            <v>Heating upgrade (AFUE 90), Zone 2</v>
          </cell>
          <cell r="C37">
            <v>81</v>
          </cell>
          <cell r="D37">
            <v>500</v>
          </cell>
          <cell r="E37">
            <v>18</v>
          </cell>
          <cell r="F37" t="str">
            <v>90% AFUE New Gas Furnace (New)</v>
          </cell>
          <cell r="G37" t="str">
            <v>90% AFUE Rating</v>
          </cell>
        </row>
        <row r="38">
          <cell r="A38" t="str">
            <v>N-H106</v>
          </cell>
          <cell r="B38" t="str">
            <v>Heating upgrade (AFUE 90), Zone 3</v>
          </cell>
          <cell r="C38">
            <v>64.8</v>
          </cell>
          <cell r="D38">
            <v>500</v>
          </cell>
          <cell r="E38">
            <v>18</v>
          </cell>
          <cell r="F38" t="str">
            <v>90% AFUE New Gas Furnace (New)</v>
          </cell>
          <cell r="G38" t="str">
            <v>90% AFUE Rating</v>
          </cell>
        </row>
        <row r="39">
          <cell r="A39" t="str">
            <v>N-H107</v>
          </cell>
          <cell r="B39" t="str">
            <v>Window U=.3, Zone 1</v>
          </cell>
          <cell r="C39">
            <v>28.8</v>
          </cell>
          <cell r="D39">
            <v>720</v>
          </cell>
          <cell r="E39">
            <v>45</v>
          </cell>
        </row>
        <row r="40">
          <cell r="A40" t="str">
            <v>N-H108</v>
          </cell>
          <cell r="B40" t="str">
            <v>Window U=.3, Zone 2</v>
          </cell>
          <cell r="C40">
            <v>31.5</v>
          </cell>
          <cell r="D40">
            <v>720</v>
          </cell>
          <cell r="E40">
            <v>45</v>
          </cell>
        </row>
        <row r="41">
          <cell r="A41" t="str">
            <v>N-H109</v>
          </cell>
          <cell r="B41" t="str">
            <v>Window U=.3, Zone 3</v>
          </cell>
          <cell r="C41">
            <v>36</v>
          </cell>
          <cell r="D41">
            <v>720</v>
          </cell>
          <cell r="E41">
            <v>45</v>
          </cell>
        </row>
        <row r="42">
          <cell r="A42" t="str">
            <v>N-H110</v>
          </cell>
          <cell r="B42" t="str">
            <v>HRV, E*, Zone 1</v>
          </cell>
          <cell r="C42">
            <v>76.5</v>
          </cell>
          <cell r="D42">
            <v>1500</v>
          </cell>
          <cell r="E42">
            <v>45</v>
          </cell>
        </row>
        <row r="43">
          <cell r="A43" t="str">
            <v>N-H111</v>
          </cell>
          <cell r="B43" t="str">
            <v>HRV, E*, Zone 2</v>
          </cell>
          <cell r="C43">
            <v>81</v>
          </cell>
          <cell r="D43">
            <v>1500</v>
          </cell>
          <cell r="E43">
            <v>45</v>
          </cell>
        </row>
        <row r="44">
          <cell r="A44" t="str">
            <v>N-H112</v>
          </cell>
          <cell r="B44" t="str">
            <v>HRV, E*, Zone 3</v>
          </cell>
          <cell r="C44">
            <v>93.6</v>
          </cell>
          <cell r="D44">
            <v>1500</v>
          </cell>
          <cell r="E44">
            <v>45</v>
          </cell>
        </row>
        <row r="45">
          <cell r="A45" t="str">
            <v>N-H113</v>
          </cell>
          <cell r="B45" t="str">
            <v>E* Plus (FTC) Insulation, Zone 1</v>
          </cell>
          <cell r="C45">
            <v>220.5</v>
          </cell>
          <cell r="D45">
            <v>3700</v>
          </cell>
          <cell r="E45">
            <v>30</v>
          </cell>
          <cell r="F45" t="str">
            <v>Energy * Plus</v>
          </cell>
          <cell r="G45" t="str">
            <v>Federal Tax Credit Eligible</v>
          </cell>
        </row>
        <row r="46">
          <cell r="A46" t="str">
            <v>N-H114</v>
          </cell>
          <cell r="B46" t="str">
            <v>E* Plus (FTC) Insulation, Zone 2</v>
          </cell>
          <cell r="C46">
            <v>234.9</v>
          </cell>
          <cell r="D46">
            <v>3700</v>
          </cell>
          <cell r="E46">
            <v>30</v>
          </cell>
          <cell r="F46" t="str">
            <v>Energy * Plus</v>
          </cell>
          <cell r="G46" t="str">
            <v>Federal Tax Credit Eligible</v>
          </cell>
        </row>
        <row r="47">
          <cell r="A47" t="str">
            <v>N-H115</v>
          </cell>
          <cell r="B47" t="str">
            <v>E* Plus (FTC) Insulation, Zone 3</v>
          </cell>
          <cell r="C47">
            <v>296.10000000000002</v>
          </cell>
          <cell r="D47">
            <v>3700</v>
          </cell>
          <cell r="E47">
            <v>30</v>
          </cell>
          <cell r="F47" t="str">
            <v>Energy * Plus</v>
          </cell>
          <cell r="G47" t="str">
            <v>Federal Tax Credit Eligible</v>
          </cell>
        </row>
        <row r="48">
          <cell r="A48" t="str">
            <v>R-A102</v>
          </cell>
          <cell r="B48" t="str">
            <v>MEF 2.0 Washer</v>
          </cell>
          <cell r="C48">
            <v>5.6</v>
          </cell>
          <cell r="D48">
            <v>113</v>
          </cell>
          <cell r="E48">
            <v>12</v>
          </cell>
          <cell r="F48" t="str">
            <v>2.0 MEF E* Clothes Washer</v>
          </cell>
          <cell r="G48" t="str">
            <v>2.0 MEF</v>
          </cell>
        </row>
        <row r="49">
          <cell r="A49" t="str">
            <v>R-A103</v>
          </cell>
          <cell r="B49" t="str">
            <v>Estar Dishwasher</v>
          </cell>
          <cell r="C49">
            <v>2.1501899999999998</v>
          </cell>
          <cell r="D49">
            <v>38</v>
          </cell>
          <cell r="E49">
            <v>12</v>
          </cell>
        </row>
        <row r="50">
          <cell r="A50" t="str">
            <v>R-DG101</v>
          </cell>
          <cell r="B50" t="str">
            <v>Tank upgrade (50 gal gas)</v>
          </cell>
          <cell r="C50">
            <v>13.125695216907701</v>
          </cell>
          <cell r="D50">
            <v>350</v>
          </cell>
          <cell r="E50">
            <v>15</v>
          </cell>
          <cell r="F50" t="str">
            <v>.62 Water Heater</v>
          </cell>
          <cell r="G50" t="str">
            <v>0.62 Energy Factor or Greater</v>
          </cell>
        </row>
        <row r="51">
          <cell r="A51" t="str">
            <v>R-DG102</v>
          </cell>
          <cell r="B51" t="str">
            <v>Tank upgrade (50 gal gas) condensing</v>
          </cell>
          <cell r="C51">
            <v>66.238973536487578</v>
          </cell>
          <cell r="D51">
            <v>2500</v>
          </cell>
          <cell r="E51">
            <v>15</v>
          </cell>
        </row>
        <row r="52">
          <cell r="A52" t="str">
            <v>R-DG103</v>
          </cell>
          <cell r="B52" t="str">
            <v>Solar hot water heater (50 gal) - Solar Zone 2.  With gas backup.</v>
          </cell>
          <cell r="C52">
            <v>112.67904509283822</v>
          </cell>
          <cell r="D52">
            <v>3850</v>
          </cell>
          <cell r="E52">
            <v>20</v>
          </cell>
        </row>
        <row r="53">
          <cell r="A53" t="str">
            <v>R-DG104</v>
          </cell>
          <cell r="B53" t="str">
            <v>Tankless Gas heater</v>
          </cell>
          <cell r="C53">
            <v>42.714932126696823</v>
          </cell>
          <cell r="D53">
            <v>800</v>
          </cell>
          <cell r="E53">
            <v>20</v>
          </cell>
          <cell r="F53" t="str">
            <v>.81 Tankless Water Heater (replace)</v>
          </cell>
          <cell r="G53" t="str">
            <v>0.81 Energy Factor</v>
          </cell>
        </row>
        <row r="54">
          <cell r="A54" t="str">
            <v>R-GD110</v>
          </cell>
          <cell r="B54" t="str">
            <v>Tankless Gas heater replace</v>
          </cell>
          <cell r="C54">
            <v>94.117647058823479</v>
          </cell>
          <cell r="D54">
            <v>800</v>
          </cell>
          <cell r="E54">
            <v>20</v>
          </cell>
        </row>
        <row r="55">
          <cell r="A55" t="str">
            <v>R-GD111</v>
          </cell>
          <cell r="B55" t="str">
            <v>Tank upgrade (50 gal gas) Hi Eff Alternative</v>
          </cell>
          <cell r="C55">
            <v>76.847290640394107</v>
          </cell>
          <cell r="D55">
            <v>585</v>
          </cell>
          <cell r="E55">
            <v>15</v>
          </cell>
        </row>
        <row r="56">
          <cell r="A56" t="str">
            <v>R-GD112</v>
          </cell>
          <cell r="B56" t="str">
            <v>Upgrade to Navien Tankless Gas heater</v>
          </cell>
          <cell r="C56">
            <v>13.747521480502304</v>
          </cell>
          <cell r="D56">
            <v>150</v>
          </cell>
          <cell r="E56">
            <v>20</v>
          </cell>
        </row>
        <row r="57">
          <cell r="A57" t="str">
            <v>R-GD113</v>
          </cell>
          <cell r="B57" t="str">
            <v>Solar hot water heater (50 gal) - With gas backup.</v>
          </cell>
          <cell r="C57">
            <v>116.78425531914893</v>
          </cell>
          <cell r="D57">
            <v>6430.2853608247415</v>
          </cell>
          <cell r="E57">
            <v>20</v>
          </cell>
        </row>
        <row r="58">
          <cell r="A58" t="str">
            <v>R-GH114</v>
          </cell>
          <cell r="B58" t="str">
            <v>Duct Sealing,  Z 3</v>
          </cell>
          <cell r="C58">
            <v>160.60137954288945</v>
          </cell>
          <cell r="D58">
            <v>619</v>
          </cell>
          <cell r="E58">
            <v>20</v>
          </cell>
        </row>
        <row r="59">
          <cell r="A59" t="str">
            <v>R-GH115</v>
          </cell>
          <cell r="B59" t="str">
            <v>AFUE 90 to hydrocoil combo, Z 3</v>
          </cell>
          <cell r="C59">
            <v>171.60567326367018</v>
          </cell>
          <cell r="D59">
            <v>300</v>
          </cell>
          <cell r="E59">
            <v>45</v>
          </cell>
        </row>
        <row r="60">
          <cell r="A60" t="str">
            <v>R-GH116</v>
          </cell>
          <cell r="B60" t="str">
            <v>Boiler to Polaris Combo radiant, Z 3</v>
          </cell>
          <cell r="C60">
            <v>398.56802919597578</v>
          </cell>
          <cell r="D60">
            <v>4400</v>
          </cell>
          <cell r="E60">
            <v>45</v>
          </cell>
        </row>
        <row r="61">
          <cell r="A61" t="str">
            <v>R-GH117</v>
          </cell>
          <cell r="B61" t="str">
            <v>Duct Sealing,  Z 4</v>
          </cell>
          <cell r="C61">
            <v>151.29711399304443</v>
          </cell>
          <cell r="D61">
            <v>619</v>
          </cell>
          <cell r="E61">
            <v>20</v>
          </cell>
        </row>
        <row r="62">
          <cell r="A62" t="str">
            <v>R-GH118</v>
          </cell>
          <cell r="B62" t="str">
            <v>AFUE 90 to hydrocoil combo, Z 4</v>
          </cell>
          <cell r="C62">
            <v>168.58131406305466</v>
          </cell>
          <cell r="D62">
            <v>300</v>
          </cell>
          <cell r="E62">
            <v>45</v>
          </cell>
        </row>
        <row r="63">
          <cell r="A63" t="str">
            <v>R-GH119</v>
          </cell>
          <cell r="B63" t="str">
            <v>Boiler to Polaris Combo radiant, Z 4</v>
          </cell>
          <cell r="C63">
            <v>381.35511159032558</v>
          </cell>
          <cell r="D63">
            <v>4400</v>
          </cell>
          <cell r="E63">
            <v>45</v>
          </cell>
        </row>
        <row r="64">
          <cell r="A64" t="str">
            <v>R-GH122</v>
          </cell>
          <cell r="B64" t="str">
            <v>AFUE 90+ Furnace, Z 3</v>
          </cell>
          <cell r="C64">
            <v>77.143331535369825</v>
          </cell>
          <cell r="D64">
            <v>300</v>
          </cell>
          <cell r="E64">
            <v>18</v>
          </cell>
        </row>
        <row r="65">
          <cell r="A65" t="str">
            <v>R-GH123</v>
          </cell>
          <cell r="B65" t="str">
            <v>Duct Sealing and AFUE 90+ , Z 3</v>
          </cell>
          <cell r="C65">
            <v>160.60137954288945</v>
          </cell>
          <cell r="D65">
            <v>1600</v>
          </cell>
          <cell r="E65">
            <v>20</v>
          </cell>
        </row>
        <row r="66">
          <cell r="A66" t="str">
            <v>R-GH124</v>
          </cell>
          <cell r="B66" t="str">
            <v>AFUE 90+ Furnace, Z 4</v>
          </cell>
          <cell r="C66">
            <v>77.143331535369825</v>
          </cell>
          <cell r="D66">
            <v>300</v>
          </cell>
          <cell r="E66">
            <v>18</v>
          </cell>
        </row>
        <row r="67">
          <cell r="A67" t="str">
            <v>R-GH125</v>
          </cell>
          <cell r="B67" t="str">
            <v>Duct Sealing and AFUE 90+ , Z 4</v>
          </cell>
          <cell r="C67">
            <v>151.29711399304443</v>
          </cell>
          <cell r="D67">
            <v>1600</v>
          </cell>
          <cell r="E67">
            <v>20</v>
          </cell>
        </row>
        <row r="68">
          <cell r="A68" t="str">
            <v>R-GW117</v>
          </cell>
          <cell r="B68" t="str">
            <v>Wx insulation (ceiling, floor), Z 1-2</v>
          </cell>
          <cell r="C68">
            <v>322.22636417500001</v>
          </cell>
          <cell r="D68">
            <v>2099</v>
          </cell>
          <cell r="E68">
            <v>45</v>
          </cell>
        </row>
        <row r="69">
          <cell r="A69" t="str">
            <v>R-GW118</v>
          </cell>
          <cell r="B69" t="str">
            <v>Wx insulation (add walls), Z 1-2</v>
          </cell>
          <cell r="C69">
            <v>260.71676622499996</v>
          </cell>
          <cell r="D69">
            <v>1305</v>
          </cell>
          <cell r="E69">
            <v>45</v>
          </cell>
        </row>
        <row r="70">
          <cell r="A70" t="str">
            <v>R-GW119</v>
          </cell>
          <cell r="B70" t="str">
            <v>Window, retro (U=.35), Z 1-2</v>
          </cell>
          <cell r="C70">
            <v>154.92191476249997</v>
          </cell>
          <cell r="D70">
            <v>4500</v>
          </cell>
          <cell r="E70">
            <v>45</v>
          </cell>
        </row>
        <row r="71">
          <cell r="A71" t="str">
            <v>R-GW120</v>
          </cell>
          <cell r="B71" t="str">
            <v>Window replace (U=.35), Z 1-2</v>
          </cell>
          <cell r="C71">
            <v>19.365239345312496</v>
          </cell>
          <cell r="D71">
            <v>350</v>
          </cell>
          <cell r="E71">
            <v>45</v>
          </cell>
        </row>
        <row r="72">
          <cell r="A72" t="str">
            <v>R-GW121</v>
          </cell>
          <cell r="B72" t="str">
            <v>HRV, Z 1-2</v>
          </cell>
          <cell r="C72">
            <v>58.700080343749981</v>
          </cell>
          <cell r="D72">
            <v>2000</v>
          </cell>
          <cell r="E72">
            <v>36</v>
          </cell>
        </row>
        <row r="73">
          <cell r="A73" t="str">
            <v>R-GW122</v>
          </cell>
          <cell r="B73" t="str">
            <v>Wx insulation (ceiling, floor), Z 3</v>
          </cell>
          <cell r="C73">
            <v>450.30187691249995</v>
          </cell>
          <cell r="D73">
            <v>2099</v>
          </cell>
          <cell r="E73">
            <v>45</v>
          </cell>
        </row>
        <row r="74">
          <cell r="A74" t="str">
            <v>R-GW123</v>
          </cell>
          <cell r="B74" t="str">
            <v>Wx insulation (add walls), Z 3</v>
          </cell>
          <cell r="C74">
            <v>379.38024886249991</v>
          </cell>
          <cell r="D74">
            <v>1305</v>
          </cell>
          <cell r="E74">
            <v>45</v>
          </cell>
        </row>
        <row r="75">
          <cell r="A75" t="str">
            <v>R-GW124</v>
          </cell>
          <cell r="B75" t="str">
            <v>Window, retro (U=.35), Z 3</v>
          </cell>
          <cell r="C75">
            <v>223.63618506250003</v>
          </cell>
          <cell r="D75">
            <v>4500</v>
          </cell>
          <cell r="E75">
            <v>45</v>
          </cell>
        </row>
        <row r="76">
          <cell r="A76" t="str">
            <v>R-GW125</v>
          </cell>
          <cell r="B76" t="str">
            <v>Window replace (U=.35), Z 3</v>
          </cell>
          <cell r="C76">
            <v>27.954523132812504</v>
          </cell>
          <cell r="D76">
            <v>350</v>
          </cell>
          <cell r="E76">
            <v>45</v>
          </cell>
        </row>
        <row r="77">
          <cell r="A77" t="str">
            <v>R-GW126</v>
          </cell>
          <cell r="B77" t="str">
            <v>HRV, Z 3</v>
          </cell>
          <cell r="C77">
            <v>89.166715462499965</v>
          </cell>
          <cell r="D77">
            <v>2000</v>
          </cell>
          <cell r="E77">
            <v>18</v>
          </cell>
        </row>
        <row r="78">
          <cell r="A78" t="str">
            <v>R-GW127</v>
          </cell>
          <cell r="B78" t="str">
            <v>Wx insulation (ceiling, floor), Z 4</v>
          </cell>
          <cell r="C78">
            <v>450.30187691249995</v>
          </cell>
          <cell r="D78">
            <v>2099</v>
          </cell>
          <cell r="E78">
            <v>45</v>
          </cell>
        </row>
        <row r="79">
          <cell r="A79" t="str">
            <v>R-GW128</v>
          </cell>
          <cell r="B79" t="str">
            <v>Wx insulation (add walls), Z 4</v>
          </cell>
          <cell r="C79">
            <v>379.38024886249991</v>
          </cell>
          <cell r="D79">
            <v>1305</v>
          </cell>
          <cell r="E79">
            <v>45</v>
          </cell>
        </row>
        <row r="80">
          <cell r="A80" t="str">
            <v>R-GW129</v>
          </cell>
          <cell r="B80" t="str">
            <v>Window, retro (U=.35), Z 4</v>
          </cell>
          <cell r="C80">
            <v>223.63618506250003</v>
          </cell>
          <cell r="D80">
            <v>4500</v>
          </cell>
          <cell r="E80">
            <v>45</v>
          </cell>
        </row>
        <row r="81">
          <cell r="A81" t="str">
            <v>R-GW130</v>
          </cell>
          <cell r="B81" t="str">
            <v>Window replace (U=.35), Z 4</v>
          </cell>
          <cell r="C81">
            <v>27.954523132812504</v>
          </cell>
          <cell r="D81">
            <v>350</v>
          </cell>
          <cell r="E81">
            <v>45</v>
          </cell>
        </row>
        <row r="82">
          <cell r="A82" t="str">
            <v>R-GW131</v>
          </cell>
          <cell r="B82" t="str">
            <v>HRV, Z 4</v>
          </cell>
          <cell r="C82">
            <v>89.166715462499965</v>
          </cell>
          <cell r="D82">
            <v>2000</v>
          </cell>
          <cell r="E82">
            <v>18</v>
          </cell>
        </row>
        <row r="83">
          <cell r="A83" t="str">
            <v>R-H101</v>
          </cell>
          <cell r="B83" t="str">
            <v>Duct Sealing, Zone 1</v>
          </cell>
          <cell r="C83">
            <v>87.5</v>
          </cell>
          <cell r="D83">
            <v>800</v>
          </cell>
          <cell r="E83">
            <v>20</v>
          </cell>
          <cell r="F83" t="str">
            <v>PTCS Duct Sealing</v>
          </cell>
          <cell r="G83" t="str">
            <v>PTCS Certified Duct Sealing</v>
          </cell>
        </row>
        <row r="84">
          <cell r="A84" t="str">
            <v>R-H102</v>
          </cell>
          <cell r="B84" t="str">
            <v>Duct Sealing, Zone 2</v>
          </cell>
          <cell r="C84">
            <v>77</v>
          </cell>
          <cell r="D84">
            <v>800</v>
          </cell>
          <cell r="E84">
            <v>20</v>
          </cell>
          <cell r="F84" t="str">
            <v>PTCS Duct Sealing</v>
          </cell>
          <cell r="G84" t="str">
            <v>PTCS Certified Duct Sealing</v>
          </cell>
        </row>
        <row r="85">
          <cell r="A85" t="str">
            <v>R-H103</v>
          </cell>
          <cell r="B85" t="str">
            <v>Duct Sealing, Zone 3</v>
          </cell>
          <cell r="C85">
            <v>113.4</v>
          </cell>
          <cell r="D85">
            <v>800</v>
          </cell>
          <cell r="E85">
            <v>20</v>
          </cell>
          <cell r="F85" t="str">
            <v>PTCS Duct Sealing</v>
          </cell>
          <cell r="G85" t="str">
            <v>PTCS Certified Duct Sealing</v>
          </cell>
        </row>
        <row r="86">
          <cell r="A86" t="str">
            <v>R-H104</v>
          </cell>
          <cell r="B86" t="str">
            <v>AFUE 90+ Furnace, Zone 1</v>
          </cell>
          <cell r="C86">
            <v>81.207699999999988</v>
          </cell>
          <cell r="D86">
            <v>800</v>
          </cell>
          <cell r="E86">
            <v>18</v>
          </cell>
          <cell r="F86" t="str">
            <v>90% AFUE New Gas Furnace (Existing)</v>
          </cell>
          <cell r="G86" t="str">
            <v>90% AFUE Rating</v>
          </cell>
        </row>
        <row r="87">
          <cell r="A87" t="str">
            <v>R-H105</v>
          </cell>
          <cell r="B87" t="str">
            <v>AFUE 90+ Furnace, Zone 2</v>
          </cell>
          <cell r="C87">
            <v>75.167400000000015</v>
          </cell>
          <cell r="D87">
            <v>800</v>
          </cell>
          <cell r="E87">
            <v>18</v>
          </cell>
          <cell r="F87" t="str">
            <v>90% AFUE New Gas Furnace (Existing)</v>
          </cell>
          <cell r="G87" t="str">
            <v>90% AFUE Rating</v>
          </cell>
        </row>
        <row r="88">
          <cell r="A88" t="str">
            <v>R-H106</v>
          </cell>
          <cell r="B88" t="str">
            <v>AFUE 90+ Furnace, Zone 3</v>
          </cell>
          <cell r="C88">
            <v>98.611099999999993</v>
          </cell>
          <cell r="D88">
            <v>800</v>
          </cell>
          <cell r="E88">
            <v>18</v>
          </cell>
          <cell r="F88" t="str">
            <v>90% AFUE New Gas Furnace (Existing)</v>
          </cell>
          <cell r="G88" t="str">
            <v>90% AFUE Rating</v>
          </cell>
        </row>
        <row r="89">
          <cell r="A89" t="str">
            <v>R-H107</v>
          </cell>
          <cell r="B89" t="str">
            <v>AFUE 85 DHW combo, Zone 1</v>
          </cell>
          <cell r="C89">
            <v>109.17087126137841</v>
          </cell>
          <cell r="D89">
            <v>2150</v>
          </cell>
          <cell r="E89">
            <v>18</v>
          </cell>
        </row>
        <row r="90">
          <cell r="A90" t="str">
            <v>R-H108</v>
          </cell>
          <cell r="B90" t="str">
            <v>AFUE 85 DHW combo, Zone 2</v>
          </cell>
          <cell r="C90">
            <v>101.45812743823147</v>
          </cell>
          <cell r="D90">
            <v>2150</v>
          </cell>
          <cell r="E90">
            <v>18</v>
          </cell>
        </row>
        <row r="91">
          <cell r="A91" t="str">
            <v>R-H109</v>
          </cell>
          <cell r="B91" t="str">
            <v>AFUE 85 DHW combo, Zone 3</v>
          </cell>
          <cell r="C91">
            <v>115.20416124837449</v>
          </cell>
          <cell r="D91">
            <v>2150</v>
          </cell>
          <cell r="E91">
            <v>18</v>
          </cell>
        </row>
        <row r="92">
          <cell r="A92" t="str">
            <v>R-H110</v>
          </cell>
          <cell r="B92" t="str">
            <v>Combo with Hot Water delivery, Zone 1</v>
          </cell>
          <cell r="C92">
            <v>297.25877763328992</v>
          </cell>
          <cell r="D92">
            <v>4000</v>
          </cell>
          <cell r="E92">
            <v>30</v>
          </cell>
        </row>
        <row r="93">
          <cell r="A93" t="str">
            <v>R-H111</v>
          </cell>
          <cell r="B93" t="str">
            <v>Combo with Hot Water delivery, Zone 2</v>
          </cell>
          <cell r="C93">
            <v>287.83198959687905</v>
          </cell>
          <cell r="D93">
            <v>4000</v>
          </cell>
          <cell r="E93">
            <v>30</v>
          </cell>
        </row>
        <row r="94">
          <cell r="A94" t="str">
            <v>R-H112</v>
          </cell>
          <cell r="B94" t="str">
            <v>Combo with Hot Water delivery, Zone 3</v>
          </cell>
          <cell r="C94">
            <v>326.50729999999999</v>
          </cell>
          <cell r="D94">
            <v>4000</v>
          </cell>
          <cell r="E94">
            <v>30</v>
          </cell>
        </row>
        <row r="95">
          <cell r="A95" t="str">
            <v>R-H113</v>
          </cell>
          <cell r="B95" t="str">
            <v>Duct Sealing and AFUE 90+, Zone 1</v>
          </cell>
          <cell r="C95">
            <v>172.73549999999997</v>
          </cell>
          <cell r="D95">
            <v>1250</v>
          </cell>
          <cell r="E95">
            <v>20</v>
          </cell>
          <cell r="F95" t="str">
            <v>90% Furnace &amp; PTCS Duct Sealing</v>
          </cell>
          <cell r="G95" t="str">
            <v>90% AFUE Rating</v>
          </cell>
        </row>
        <row r="96">
          <cell r="A96" t="str">
            <v>R-H114</v>
          </cell>
          <cell r="B96" t="str">
            <v>Duct Sealing and AFUE 90+, Zone 2</v>
          </cell>
          <cell r="C96">
            <v>160.37629999999999</v>
          </cell>
          <cell r="D96">
            <v>1250</v>
          </cell>
          <cell r="E96">
            <v>20</v>
          </cell>
          <cell r="F96" t="str">
            <v>90% Furnace &amp; PTCS Duct Sealing</v>
          </cell>
          <cell r="G96" t="str">
            <v>90% AFUE Rating</v>
          </cell>
        </row>
        <row r="97">
          <cell r="A97" t="str">
            <v>R-H115</v>
          </cell>
          <cell r="B97" t="str">
            <v>Duct Sealing and AFUE 90+, Zone 3</v>
          </cell>
          <cell r="C97">
            <v>210.43959999999998</v>
          </cell>
          <cell r="D97">
            <v>1250</v>
          </cell>
          <cell r="E97">
            <v>20</v>
          </cell>
          <cell r="F97" t="str">
            <v>90% Furnace &amp; PTCS Duct Sealing</v>
          </cell>
          <cell r="G97" t="str">
            <v>90% AFUE Rating</v>
          </cell>
        </row>
        <row r="98">
          <cell r="A98" t="str">
            <v>R-WG101</v>
          </cell>
          <cell r="B98" t="str">
            <v>Wx insulation 2 measures Zone 1</v>
          </cell>
          <cell r="C98">
            <v>228.30149999999998</v>
          </cell>
          <cell r="D98">
            <v>2400</v>
          </cell>
          <cell r="E98">
            <v>45</v>
          </cell>
        </row>
        <row r="99">
          <cell r="A99" t="str">
            <v>R-WG102</v>
          </cell>
          <cell r="B99" t="str">
            <v>Wx insulation 2 measures Zone 2</v>
          </cell>
          <cell r="C99">
            <v>221.84399999999997</v>
          </cell>
          <cell r="D99">
            <v>2400</v>
          </cell>
          <cell r="E99">
            <v>45</v>
          </cell>
        </row>
        <row r="100">
          <cell r="A100" t="str">
            <v>R-WG103</v>
          </cell>
          <cell r="B100" t="str">
            <v>Wx insulation 2 measures Zone 3</v>
          </cell>
          <cell r="C100">
            <v>258.29090000000002</v>
          </cell>
          <cell r="D100">
            <v>2400</v>
          </cell>
          <cell r="E100">
            <v>45</v>
          </cell>
        </row>
        <row r="101">
          <cell r="A101" t="str">
            <v>R-WG104</v>
          </cell>
          <cell r="B101" t="str">
            <v>Wx insulation 1 added measure Zone 1</v>
          </cell>
          <cell r="C101">
            <v>323.0514</v>
          </cell>
          <cell r="D101">
            <v>800</v>
          </cell>
          <cell r="E101">
            <v>45</v>
          </cell>
        </row>
        <row r="102">
          <cell r="A102" t="str">
            <v>R-WG105</v>
          </cell>
          <cell r="B102" t="str">
            <v>Wx insulation 1 added measure Zone 2</v>
          </cell>
          <cell r="C102">
            <v>313.69240000000002</v>
          </cell>
          <cell r="D102">
            <v>800</v>
          </cell>
          <cell r="E102">
            <v>45</v>
          </cell>
        </row>
        <row r="103">
          <cell r="A103" t="str">
            <v>R-WG106</v>
          </cell>
          <cell r="B103" t="str">
            <v>Wx insulation 1 added measure Zone 3</v>
          </cell>
          <cell r="C103">
            <v>367.34949999999998</v>
          </cell>
          <cell r="D103">
            <v>800</v>
          </cell>
          <cell r="E103">
            <v>45</v>
          </cell>
        </row>
        <row r="104">
          <cell r="A104" t="str">
            <v>R-WG107</v>
          </cell>
          <cell r="B104" t="str">
            <v>Window, replacement (U=.35) Zone 1</v>
          </cell>
          <cell r="C104">
            <v>474.95419999999996</v>
          </cell>
          <cell r="D104">
            <v>4500</v>
          </cell>
          <cell r="E104">
            <v>45</v>
          </cell>
        </row>
        <row r="105">
          <cell r="A105" t="str">
            <v>R-WG108</v>
          </cell>
          <cell r="B105" t="str">
            <v>Window, replacement (U=.35) Zone 2</v>
          </cell>
          <cell r="C105">
            <v>457.34780000000001</v>
          </cell>
          <cell r="D105">
            <v>4500</v>
          </cell>
          <cell r="E105">
            <v>45</v>
          </cell>
        </row>
        <row r="106">
          <cell r="A106" t="str">
            <v>R-WG109</v>
          </cell>
          <cell r="B106" t="str">
            <v>Window, replacement (U=.35) Zone 3</v>
          </cell>
          <cell r="C106">
            <v>543.73900000000003</v>
          </cell>
          <cell r="D106">
            <v>4500</v>
          </cell>
          <cell r="E106">
            <v>45</v>
          </cell>
        </row>
        <row r="107">
          <cell r="A107" t="str">
            <v>R-WG110</v>
          </cell>
          <cell r="B107" t="str">
            <v>Window upgrade (U=.4 to U=.35) Zone 1</v>
          </cell>
          <cell r="C107">
            <v>17.281599999999994</v>
          </cell>
          <cell r="D107">
            <v>350</v>
          </cell>
          <cell r="E107">
            <v>45</v>
          </cell>
        </row>
        <row r="108">
          <cell r="A108" t="str">
            <v>R-WG111</v>
          </cell>
          <cell r="B108" t="str">
            <v>Window upgrade (U=.4 to U=.35) Zone 2</v>
          </cell>
          <cell r="C108">
            <v>16.938599999999997</v>
          </cell>
          <cell r="D108">
            <v>350</v>
          </cell>
          <cell r="E108">
            <v>45</v>
          </cell>
        </row>
        <row r="109">
          <cell r="A109" t="str">
            <v>R-WG112</v>
          </cell>
          <cell r="B109" t="str">
            <v>Window upgrade (U=.4 to U=.35) Zone 3</v>
          </cell>
          <cell r="C109">
            <v>20.067599999999999</v>
          </cell>
          <cell r="D109">
            <v>350</v>
          </cell>
          <cell r="E109">
            <v>45</v>
          </cell>
        </row>
        <row r="110">
          <cell r="A110" t="str">
            <v>R-WG113</v>
          </cell>
          <cell r="B110" t="str">
            <v>HRV Zone 1</v>
          </cell>
          <cell r="C110">
            <v>65.181899999999999</v>
          </cell>
          <cell r="D110">
            <v>2000</v>
          </cell>
          <cell r="E110">
            <v>18</v>
          </cell>
        </row>
        <row r="111">
          <cell r="A111" t="str">
            <v>R-WG114</v>
          </cell>
          <cell r="B111" t="str">
            <v>HRV Zone 2</v>
          </cell>
          <cell r="C111">
            <v>63.179900000000011</v>
          </cell>
          <cell r="D111">
            <v>2000</v>
          </cell>
          <cell r="E111">
            <v>18</v>
          </cell>
        </row>
        <row r="112">
          <cell r="A112" t="str">
            <v>R-WG115</v>
          </cell>
          <cell r="B112" t="str">
            <v>HRV Zone 3</v>
          </cell>
          <cell r="C112">
            <v>73.857699999999994</v>
          </cell>
          <cell r="D112">
            <v>2000</v>
          </cell>
          <cell r="E112">
            <v>18</v>
          </cell>
        </row>
        <row r="113">
          <cell r="A113" t="str">
            <v>WALL</v>
          </cell>
          <cell r="B113" t="str">
            <v>WALL INSULATION ZONE 1</v>
          </cell>
          <cell r="C113">
            <v>119.46100000000001</v>
          </cell>
          <cell r="D113">
            <v>1184.5303867403316</v>
          </cell>
          <cell r="E113">
            <v>45</v>
          </cell>
          <cell r="F113" t="str">
            <v>Wall Insulation</v>
          </cell>
          <cell r="G113" t="str">
            <v>Equal to or Greater than R-11 to fill cavity</v>
          </cell>
        </row>
        <row r="114">
          <cell r="A114" t="str">
            <v>WALL</v>
          </cell>
          <cell r="B114" t="str">
            <v>WALL INSULATION ZONE 2</v>
          </cell>
          <cell r="C114">
            <v>115.89500000000001</v>
          </cell>
          <cell r="D114">
            <v>1188.5714285714289</v>
          </cell>
          <cell r="E114">
            <v>45</v>
          </cell>
          <cell r="F114" t="str">
            <v>Wall Insulation</v>
          </cell>
          <cell r="G114" t="str">
            <v>Equal to or Greater than R-11 to fill cavity</v>
          </cell>
        </row>
        <row r="115">
          <cell r="A115" t="str">
            <v>WALL</v>
          </cell>
          <cell r="B115" t="str">
            <v>WALL INSULATION ZONE3</v>
          </cell>
          <cell r="C115">
            <v>135.50800000000001</v>
          </cell>
          <cell r="D115">
            <v>1180.5825242718447</v>
          </cell>
          <cell r="E115">
            <v>45</v>
          </cell>
          <cell r="F115" t="str">
            <v>Wall Insulation</v>
          </cell>
          <cell r="G115" t="str">
            <v>Equal to or Greater than R-11 to fill cavity</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540F7-AEC5-486C-A56E-C1E0765888A9}">
  <sheetPr>
    <tabColor rgb="FF00B0F0"/>
    <pageSetUpPr fitToPage="1"/>
  </sheetPr>
  <dimension ref="A1:AN92"/>
  <sheetViews>
    <sheetView showGridLines="0" tabSelected="1" zoomScale="80" zoomScaleNormal="80" workbookViewId="0">
      <selection activeCell="I6" sqref="B6:AN72"/>
    </sheetView>
  </sheetViews>
  <sheetFormatPr defaultColWidth="216.5" defaultRowHeight="12.75" x14ac:dyDescent="0.2"/>
  <cols>
    <col min="1" max="1" width="42.1640625" style="1" customWidth="1"/>
    <col min="2" max="2" width="12" style="1" hidden="1" customWidth="1"/>
    <col min="3" max="3" width="10.5" style="1" hidden="1" customWidth="1"/>
    <col min="4" max="4" width="44.1640625" style="1" customWidth="1"/>
    <col min="5" max="5" width="49.33203125" style="1" bestFit="1" customWidth="1" collapsed="1"/>
    <col min="6" max="6" width="37.5" style="30" customWidth="1"/>
    <col min="7" max="7" width="51" style="30" bestFit="1" customWidth="1"/>
    <col min="8" max="9" width="36" style="31" customWidth="1"/>
    <col min="10" max="10" width="42.6640625" style="2" bestFit="1" customWidth="1"/>
    <col min="11" max="11" width="14.5" style="2" bestFit="1" customWidth="1"/>
    <col min="12" max="12" width="54.1640625" style="2" bestFit="1" customWidth="1"/>
    <col min="13" max="13" width="25.83203125" style="2" bestFit="1" customWidth="1"/>
    <col min="14" max="14" width="35.83203125" style="110" bestFit="1" customWidth="1"/>
    <col min="15" max="15" width="27.6640625" style="110" bestFit="1" customWidth="1"/>
    <col min="16" max="16" width="45.6640625" style="110" bestFit="1" customWidth="1"/>
    <col min="17" max="17" width="42.83203125" style="1" bestFit="1" customWidth="1"/>
    <col min="18" max="18" width="42.6640625" style="1" bestFit="1" customWidth="1"/>
    <col min="19" max="19" width="32" style="1" bestFit="1" customWidth="1"/>
    <col min="20" max="20" width="40" style="1" bestFit="1" customWidth="1"/>
    <col min="21" max="21" width="25.83203125" style="1" bestFit="1" customWidth="1"/>
    <col min="22" max="22" width="29.83203125" style="1" bestFit="1" customWidth="1"/>
    <col min="23" max="23" width="32.5" style="1" bestFit="1" customWidth="1"/>
    <col min="24" max="24" width="12.6640625" style="1" bestFit="1" customWidth="1"/>
    <col min="25" max="25" width="24.83203125" style="1" bestFit="1" customWidth="1"/>
    <col min="26" max="26" width="31" style="1" bestFit="1" customWidth="1"/>
    <col min="27" max="27" width="41.83203125" style="1" bestFit="1" customWidth="1"/>
    <col min="28" max="28" width="41.83203125" style="2" bestFit="1" customWidth="1"/>
    <col min="29" max="30" width="29.1640625" style="2" bestFit="1" customWidth="1"/>
    <col min="31" max="31" width="26.83203125" style="2" bestFit="1" customWidth="1"/>
    <col min="32" max="32" width="34.83203125" style="2" bestFit="1" customWidth="1"/>
    <col min="33" max="33" width="40.1640625" style="32" bestFit="1" customWidth="1"/>
    <col min="34" max="34" width="23.6640625" style="2" bestFit="1" customWidth="1"/>
    <col min="35" max="35" width="22.33203125" style="2" bestFit="1" customWidth="1"/>
    <col min="36" max="36" width="31.6640625" style="2" bestFit="1" customWidth="1"/>
    <col min="37" max="37" width="3" style="2" customWidth="1"/>
    <col min="38" max="38" width="35.6640625" style="2" bestFit="1" customWidth="1"/>
    <col min="39" max="39" width="22.33203125" style="2" bestFit="1" customWidth="1"/>
    <col min="40" max="40" width="31.6640625" style="1" bestFit="1" customWidth="1"/>
    <col min="41" max="42" width="13.1640625" style="1" customWidth="1"/>
    <col min="43" max="16384" width="216.5" style="1"/>
  </cols>
  <sheetData>
    <row r="1" spans="1:40" ht="27.75" customHeight="1" thickBot="1" x14ac:dyDescent="0.25">
      <c r="E1" s="111" t="s">
        <v>302</v>
      </c>
      <c r="F1" s="195" t="s">
        <v>2</v>
      </c>
      <c r="G1" s="196"/>
      <c r="H1" s="197"/>
      <c r="I1" s="182"/>
      <c r="J1" s="182"/>
      <c r="K1" s="182"/>
      <c r="L1" s="182"/>
      <c r="M1" s="182"/>
      <c r="N1" s="182"/>
      <c r="O1" s="182"/>
      <c r="P1" s="182"/>
      <c r="Q1" s="182"/>
      <c r="R1" s="182"/>
      <c r="S1" s="182"/>
      <c r="T1" s="182"/>
      <c r="U1" s="182"/>
      <c r="V1" s="182"/>
      <c r="W1" s="182"/>
      <c r="X1" s="182"/>
      <c r="Y1" s="182"/>
      <c r="Z1" s="182"/>
      <c r="AA1" s="182"/>
      <c r="AB1" s="182"/>
      <c r="AC1" s="182"/>
      <c r="AD1" s="182"/>
      <c r="AE1" s="182"/>
      <c r="AF1" s="198" t="s">
        <v>461</v>
      </c>
      <c r="AG1" s="198"/>
      <c r="AH1" s="198"/>
      <c r="AI1" s="198"/>
      <c r="AJ1" s="198"/>
      <c r="AK1" s="198"/>
      <c r="AL1" s="198"/>
      <c r="AM1" s="198"/>
      <c r="AN1" s="199"/>
    </row>
    <row r="2" spans="1:40" ht="22.15" customHeight="1" thickBot="1" x14ac:dyDescent="0.25">
      <c r="A2" s="176"/>
      <c r="B2" s="138"/>
      <c r="C2" s="142"/>
      <c r="D2" s="139" t="s">
        <v>327</v>
      </c>
      <c r="E2" s="111">
        <v>2022</v>
      </c>
      <c r="F2" s="180" t="s">
        <v>46</v>
      </c>
      <c r="G2" s="181"/>
      <c r="H2" s="181"/>
      <c r="I2" s="181"/>
      <c r="J2" s="181"/>
      <c r="K2" s="181"/>
      <c r="L2" s="181"/>
      <c r="M2" s="181"/>
      <c r="N2" s="181"/>
      <c r="O2" s="181"/>
      <c r="P2" s="181"/>
      <c r="Q2" s="181"/>
      <c r="R2" s="181"/>
      <c r="S2" s="181"/>
      <c r="T2" s="181"/>
      <c r="U2" s="181"/>
      <c r="V2" s="181"/>
      <c r="W2" s="181"/>
      <c r="X2" s="181"/>
      <c r="Y2" s="181"/>
      <c r="Z2" s="181"/>
      <c r="AA2" s="181"/>
      <c r="AB2" s="181"/>
      <c r="AC2" s="181"/>
      <c r="AD2" s="181"/>
      <c r="AE2" s="181"/>
      <c r="AF2" s="200"/>
      <c r="AG2" s="200"/>
      <c r="AH2" s="200"/>
      <c r="AI2" s="200"/>
      <c r="AJ2" s="200"/>
      <c r="AK2" s="200"/>
      <c r="AL2" s="200"/>
      <c r="AM2" s="200"/>
      <c r="AN2" s="201"/>
    </row>
    <row r="3" spans="1:40" ht="22.5" hidden="1" customHeight="1" thickBot="1" x14ac:dyDescent="0.25">
      <c r="A3" s="28"/>
      <c r="B3" s="28"/>
      <c r="C3" s="28"/>
      <c r="D3" s="1" t="s">
        <v>328</v>
      </c>
      <c r="E3" s="140"/>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41"/>
    </row>
    <row r="4" spans="1:40" ht="22.5" hidden="1" customHeight="1" x14ac:dyDescent="0.25">
      <c r="A4" s="28"/>
      <c r="B4" s="28"/>
      <c r="C4" s="28"/>
      <c r="D4" s="1" t="s">
        <v>327</v>
      </c>
      <c r="E4" s="140"/>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row>
    <row r="5" spans="1:40" s="28" customFormat="1" ht="42.75" customHeight="1" thickBot="1" x14ac:dyDescent="0.25">
      <c r="B5" s="110" t="s">
        <v>396</v>
      </c>
      <c r="C5" s="210" t="s">
        <v>299</v>
      </c>
      <c r="D5" s="211"/>
      <c r="E5" s="192" t="s">
        <v>3</v>
      </c>
      <c r="F5" s="193" t="s">
        <v>12</v>
      </c>
      <c r="G5" s="193" t="s">
        <v>17</v>
      </c>
      <c r="H5" s="193" t="s">
        <v>448</v>
      </c>
      <c r="I5" s="193" t="s">
        <v>450</v>
      </c>
      <c r="J5" s="193" t="s">
        <v>303</v>
      </c>
      <c r="K5" s="194" t="s">
        <v>23</v>
      </c>
      <c r="L5" s="185" t="s">
        <v>304</v>
      </c>
      <c r="M5" s="185" t="s">
        <v>305</v>
      </c>
      <c r="N5" s="190" t="s">
        <v>322</v>
      </c>
      <c r="O5" s="191" t="s">
        <v>306</v>
      </c>
      <c r="P5" s="189" t="s">
        <v>453</v>
      </c>
      <c r="Q5" s="189" t="s">
        <v>307</v>
      </c>
      <c r="R5" s="185" t="s">
        <v>325</v>
      </c>
      <c r="S5" s="189" t="s">
        <v>326</v>
      </c>
      <c r="T5" s="189" t="s">
        <v>308</v>
      </c>
      <c r="U5" s="189" t="s">
        <v>309</v>
      </c>
      <c r="V5" s="189" t="s">
        <v>310</v>
      </c>
      <c r="W5" s="189" t="s">
        <v>311</v>
      </c>
      <c r="X5" s="187" t="s">
        <v>6</v>
      </c>
      <c r="Y5" s="185" t="s">
        <v>321</v>
      </c>
      <c r="Z5" s="190" t="s">
        <v>323</v>
      </c>
      <c r="AA5" s="191" t="s">
        <v>456</v>
      </c>
      <c r="AB5" s="189" t="s">
        <v>458</v>
      </c>
      <c r="AC5" s="189" t="s">
        <v>320</v>
      </c>
      <c r="AD5" s="186" t="s">
        <v>319</v>
      </c>
      <c r="AE5" s="185" t="s">
        <v>318</v>
      </c>
      <c r="AF5" s="189" t="s">
        <v>324</v>
      </c>
      <c r="AG5" s="189" t="s">
        <v>317</v>
      </c>
      <c r="AH5" s="187" t="s">
        <v>316</v>
      </c>
      <c r="AI5" s="189" t="s">
        <v>315</v>
      </c>
      <c r="AJ5" s="189" t="s">
        <v>312</v>
      </c>
      <c r="AK5" s="212"/>
      <c r="AL5" s="189" t="s">
        <v>314</v>
      </c>
      <c r="AM5" s="187" t="s">
        <v>313</v>
      </c>
      <c r="AN5" s="188" t="s">
        <v>312</v>
      </c>
    </row>
    <row r="6" spans="1:40" ht="26.25" thickBot="1" x14ac:dyDescent="0.25">
      <c r="B6" s="1">
        <v>3</v>
      </c>
      <c r="C6" s="104" t="str">
        <f>E6&amp;"_"&amp;F6&amp;"_"&amp;G6</f>
        <v>Boiler_High-Efficiency-Condensing Boiler_Minimum 90% Thermal Efficiency and 300 kBtu/hr input</v>
      </c>
      <c r="E6" s="113" t="s">
        <v>53</v>
      </c>
      <c r="F6" s="113" t="s">
        <v>115</v>
      </c>
      <c r="G6" s="113" t="s">
        <v>112</v>
      </c>
      <c r="H6" s="118">
        <f>P6/N6</f>
        <v>12347.393377919179</v>
      </c>
      <c r="I6" s="177">
        <v>6.1816297805112455E-2</v>
      </c>
      <c r="J6" s="118">
        <v>1.5</v>
      </c>
      <c r="K6" s="116" t="s">
        <v>102</v>
      </c>
      <c r="L6" s="147">
        <f>IF(INDEX('Com Measure Mapping'!U:U,MATCH($C6,'Com Measure Mapping'!B:B,0))="N/A",J6,INDEX('Com Measure Mapping'!U:U,MATCH($C6,'Com Measure Mapping'!B:B,0)))</f>
        <v>1.7758629074935079</v>
      </c>
      <c r="M6" s="147" t="str">
        <f>INDEX('Com Measure Mapping'!V:V,MATCH($C6,'Com Measure Mapping'!B:B,0))</f>
        <v>kBtu/hr</v>
      </c>
      <c r="N6" s="118">
        <v>2.1</v>
      </c>
      <c r="O6" s="118">
        <f>H6</f>
        <v>12347.393377919179</v>
      </c>
      <c r="P6" s="118">
        <f>$P$72*I6</f>
        <v>25929.526093630277</v>
      </c>
      <c r="Q6" s="125">
        <v>8.89</v>
      </c>
      <c r="R6" s="145">
        <f>IF(INDEX('Com Measure Mapping'!W:W,MATCH($C6,'Com Measure Mapping'!B:B,0))="N/A",Q6,INDEX('Com Measure Mapping'!W:W,MATCH($C6,'Com Measure Mapping'!B:B,0)))</f>
        <v>10.743500000000003</v>
      </c>
      <c r="S6" s="125">
        <f>R6</f>
        <v>10.743500000000003</v>
      </c>
      <c r="T6" s="125">
        <f>IFERROR(IF($D$2="Original",O6*Q6,O6*S6),0)</f>
        <v>132654.22075567473</v>
      </c>
      <c r="U6" s="125">
        <v>0</v>
      </c>
      <c r="V6" s="125">
        <f>IFERROR(IF($D$2="Original",PV($F$76,$X6,(-0.05*0.9*$J6)),PV($F$76,$Z6,(-0.05*0.9*$N6))),0)</f>
        <v>1.5745438968150938</v>
      </c>
      <c r="W6" s="125">
        <f>IFERROR(IF($D$2="Original",MAX(0,O6*(Q6-U6-V6)),MAX(0,O6*(S6-U6-V6))),0)</f>
        <v>113212.70787089699</v>
      </c>
      <c r="X6" s="116">
        <v>20</v>
      </c>
      <c r="Y6" s="146">
        <f>IF(INDEX('Com Measure Mapping'!X:X,MATCH($C6,'Com Measure Mapping'!B:B,0))="N/A",X6,INDEX('Com Measure Mapping'!X:X,MATCH($C6,'Com Measure Mapping'!B:B,0)))</f>
        <v>25</v>
      </c>
      <c r="Z6" s="118">
        <f>Y6</f>
        <v>25</v>
      </c>
      <c r="AA6" s="118">
        <f>IFERROR(IF($D$2="Original",PV($F$76,X6,-P6),PV($F$76,Z6,-P6)),0)</f>
        <v>432033.61966172769</v>
      </c>
      <c r="AB6" s="125">
        <f>I6*$AB$72</f>
        <v>88374.001117038279</v>
      </c>
      <c r="AC6" s="125">
        <v>6</v>
      </c>
      <c r="AD6" s="145">
        <f>IF(INDEX('Com Measure Mapping'!Y:Y,MATCH($C6,'Com Measure Mapping'!B:B,0))="N/A",AC6,INDEX('Com Measure Mapping'!Y:Y,MATCH($C6,'Com Measure Mapping'!B:B,0)))</f>
        <v>10.11153224913495</v>
      </c>
      <c r="AE6" s="147" t="str">
        <f>INDEX('Com Measure Mapping'!V:V,MATCH($C6,'Com Measure Mapping'!B:B,0))</f>
        <v>kBtu/hr</v>
      </c>
      <c r="AF6" s="125">
        <v>10</v>
      </c>
      <c r="AG6" s="125">
        <f>IFERROR(IF($D$2="Original",H6*AC6,H6*AF6),0)</f>
        <v>123473.93377919179</v>
      </c>
      <c r="AH6" s="132">
        <f>IF(ISERROR(AG6/AA6),0,AG6/AA6)</f>
        <v>0.28579704948857687</v>
      </c>
      <c r="AI6" s="132">
        <f>IF(AA6=0,0,(AG6+AB6)/AA6)</f>
        <v>0.49035057749001587</v>
      </c>
      <c r="AJ6" s="121">
        <f>IFERROR(IF($D$2="Original",IF($AG6=0,"-",(VLOOKUP($X6,AC,7)*$P6)/($AG6+$AB6)),IF($AG6=0,"-",(VLOOKUP($Z6,AC,7)*$P6)/($AG6+$AB6))),0)</f>
        <v>3.3854375641965668</v>
      </c>
      <c r="AK6" s="76"/>
      <c r="AL6" s="132">
        <f>IF(ISERROR(W6/AA6),0,W6/AA6)</f>
        <v>0.26204606011805265</v>
      </c>
      <c r="AM6" s="132">
        <f>IF(AA6=0,0,(W6+AB6)/AA6)</f>
        <v>0.4665995881194917</v>
      </c>
      <c r="AN6" s="121">
        <f>IFERROR(IF($D$2="Original",IF($W6=0,"-",(VLOOKUP($X6,AC,5)*$P6)/(W6+AB6)),IF($W6=0,"-",(VLOOKUP($Z6,AC,5)*$P6)/(W6+AB6))),0)</f>
        <v>3.234331001897413</v>
      </c>
    </row>
    <row r="7" spans="1:40" ht="26.25" thickBot="1" x14ac:dyDescent="0.25">
      <c r="A7" s="104"/>
      <c r="B7" s="1">
        <v>4</v>
      </c>
      <c r="C7" s="104" t="str">
        <f>E7&amp;"_"&amp;F7&amp;"_"&amp;G7</f>
        <v>Boiler_Mid Efficiency Non-Condensing_Minimum 85% Thermal Efficiency and *** kBtu input</v>
      </c>
      <c r="E7" s="114" t="s">
        <v>53</v>
      </c>
      <c r="F7" s="114" t="s">
        <v>220</v>
      </c>
      <c r="G7" s="114" t="s">
        <v>397</v>
      </c>
      <c r="H7" s="120">
        <f>P7/N7</f>
        <v>1553.5592592592591</v>
      </c>
      <c r="I7" s="178">
        <v>5.0000000000000001E-3</v>
      </c>
      <c r="J7" s="120" t="s">
        <v>250</v>
      </c>
      <c r="K7" s="117" t="s">
        <v>250</v>
      </c>
      <c r="L7" s="119">
        <f>IF(INDEX('Com Measure Mapping'!U:U,MATCH($C7,'Com Measure Mapping'!B:B,0))="N/A",J7,INDEX('Com Measure Mapping'!U:U,MATCH($C7,'Com Measure Mapping'!B:B,0)))</f>
        <v>0.90244915857485231</v>
      </c>
      <c r="M7" s="119" t="str">
        <f>INDEX('Com Measure Mapping'!V:V,MATCH($C7,'Com Measure Mapping'!B:B,0))</f>
        <v>kBtu/hr</v>
      </c>
      <c r="N7" s="120">
        <v>1.35</v>
      </c>
      <c r="O7" s="120">
        <f>H7</f>
        <v>1553.5592592592591</v>
      </c>
      <c r="P7" s="120">
        <f>$P$72*I7</f>
        <v>2097.3049999999998</v>
      </c>
      <c r="Q7" s="126" t="s">
        <v>250</v>
      </c>
      <c r="R7" s="131">
        <f>IF(INDEX('Com Measure Mapping'!W:W,MATCH($C7,'Com Measure Mapping'!B:B,0))="N/A",Q7,INDEX('Com Measure Mapping'!W:W,MATCH($C7,'Com Measure Mapping'!B:B,0)))</f>
        <v>6.0710749999999996</v>
      </c>
      <c r="S7" s="126">
        <f>R7</f>
        <v>6.0710749999999996</v>
      </c>
      <c r="T7" s="126">
        <f>IFERROR(IF($D$2="Original",O7*Q7,O7*S7),0)</f>
        <v>9431.7747799074059</v>
      </c>
      <c r="U7" s="126">
        <v>0</v>
      </c>
      <c r="V7" s="126">
        <f>IFERROR(IF($D$2="Original",PV($F$76,$X7,(-0.05*0.9*$J7)),PV($F$76,$Z7,(-0.05*0.9*$N7))),0)</f>
        <v>1.012206790809703</v>
      </c>
      <c r="W7" s="126">
        <f>IFERROR(IF($D$2="Original",MAX(0,O7*(Q7-U7-V7)),MAX(0,O7*(S7-U7-V7))),0)</f>
        <v>7859.2515477598918</v>
      </c>
      <c r="X7" s="117" t="s">
        <v>250</v>
      </c>
      <c r="Y7" s="128">
        <f>IF(INDEX('Com Measure Mapping'!X:X,MATCH($C7,'Com Measure Mapping'!B:B,0))="N/A",X7,INDEX('Com Measure Mapping'!X:X,MATCH($C7,'Com Measure Mapping'!B:B,0)))</f>
        <v>25</v>
      </c>
      <c r="Z7" s="120">
        <f>Y7</f>
        <v>25</v>
      </c>
      <c r="AA7" s="120">
        <f>IFERROR(IF($D$2="Original",PV($F$76,X7,-P7),PV($F$76,Z7,-P7)),0)</f>
        <v>34944.960714389199</v>
      </c>
      <c r="AB7" s="126">
        <f>I7*$AB$72</f>
        <v>7148.1149999999998</v>
      </c>
      <c r="AC7" s="126" t="s">
        <v>250</v>
      </c>
      <c r="AD7" s="131">
        <f>IF(INDEX('Com Measure Mapping'!Y:Y,MATCH($C7,'Com Measure Mapping'!B:B,0))="N/A",AC7,INDEX('Com Measure Mapping'!Y:Y,MATCH($C7,'Com Measure Mapping'!B:B,0)))</f>
        <v>5.7139563529411763</v>
      </c>
      <c r="AE7" s="119" t="str">
        <f>INDEX('Com Measure Mapping'!V:V,MATCH($C7,'Com Measure Mapping'!B:B,0))</f>
        <v>kBtu/hr</v>
      </c>
      <c r="AF7" s="126">
        <v>6</v>
      </c>
      <c r="AG7" s="126">
        <f>IFERROR(IF($D$2="Original",H7*AC7,H7*AF7),0)</f>
        <v>9321.355555555554</v>
      </c>
      <c r="AH7" s="133">
        <f>IF(ISERROR(AG7/AA7),0,AG7/AA7)</f>
        <v>0.26674391285600507</v>
      </c>
      <c r="AI7" s="133">
        <f>IF(AA7=0,0,(AG7+AB7)/AA7)</f>
        <v>0.47129744085744424</v>
      </c>
      <c r="AJ7" s="122">
        <f>IFERROR(IF($D$2="Original",IF($AG7=0,"-",(VLOOKUP($X7,AC,7)*$P7)/($AG7+$AB7)),IF($AG7=0,"-",(VLOOKUP($Z7,AC,7)*$P7)/($AG7+$AB7))),0)</f>
        <v>3.5223006126237459</v>
      </c>
      <c r="AK7" s="76"/>
      <c r="AL7" s="133">
        <f>IF(ISERROR(W7/AA7),0,W7/AA7)</f>
        <v>0.22490371679037852</v>
      </c>
      <c r="AM7" s="133">
        <f>IF(AA7=0,0,(W7+AB7)/AA7)</f>
        <v>0.42945724479181763</v>
      </c>
      <c r="AN7" s="122">
        <f>IFERROR(IF($D$2="Original",IF($W7=0,"-",(VLOOKUP($X7,AC,5)*$P7)/(W7+AB7)),IF($W7=0,"-",(VLOOKUP($Z7,AC,5)*$P7)/(W7+AB7))),0)</f>
        <v>3.5140576428254247</v>
      </c>
    </row>
    <row r="8" spans="1:40" ht="26.25" thickBot="1" x14ac:dyDescent="0.25">
      <c r="B8" s="1">
        <v>5</v>
      </c>
      <c r="C8" s="104" t="str">
        <f>E8&amp;"_"&amp;F8&amp;"_"&amp;G8</f>
        <v>Boiler Steam Trap_Steam Trap fitted to Steam Boiler_Minimum 300 kBtu input and steam pressures at 7psig or greater</v>
      </c>
      <c r="E8" s="113" t="s">
        <v>133</v>
      </c>
      <c r="F8" s="113" t="s">
        <v>150</v>
      </c>
      <c r="G8" s="113" t="s">
        <v>151</v>
      </c>
      <c r="H8" s="118">
        <f>P8/N8</f>
        <v>40.234953241450917</v>
      </c>
      <c r="I8" s="177">
        <v>1.3131530937928987E-2</v>
      </c>
      <c r="J8" s="118">
        <v>136.9</v>
      </c>
      <c r="K8" s="116" t="s">
        <v>47</v>
      </c>
      <c r="L8" s="147">
        <f>IF(INDEX('Com Measure Mapping'!U:U,MATCH($C8,'Com Measure Mapping'!B:B,0))="N/A",J8,INDEX('Com Measure Mapping'!U:U,MATCH($C8,'Com Measure Mapping'!B:B,0)))</f>
        <v>137.44617346101299</v>
      </c>
      <c r="M8" s="147" t="str">
        <f>INDEX('Com Measure Mapping'!V:V,MATCH($C8,'Com Measure Mapping'!B:B,0))</f>
        <v>BoilerCtrl</v>
      </c>
      <c r="N8" s="118">
        <f>J8</f>
        <v>136.9</v>
      </c>
      <c r="O8" s="118">
        <f>H8</f>
        <v>40.234953241450917</v>
      </c>
      <c r="P8" s="118">
        <f>$P$72*I8</f>
        <v>5508.1650987546309</v>
      </c>
      <c r="Q8" s="125">
        <v>315</v>
      </c>
      <c r="R8" s="145">
        <f>IF(INDEX('Com Measure Mapping'!W:W,MATCH($C8,'Com Measure Mapping'!B:B,0))="N/A",Q8,INDEX('Com Measure Mapping'!W:W,MATCH($C8,'Com Measure Mapping'!B:B,0)))</f>
        <v>75.61</v>
      </c>
      <c r="S8" s="125">
        <f>Q8</f>
        <v>315</v>
      </c>
      <c r="T8" s="125">
        <f>IFERROR(IF($D$2="Original",O8*Q8,O8*S8),0)</f>
        <v>12674.010271057039</v>
      </c>
      <c r="U8" s="125">
        <v>0</v>
      </c>
      <c r="V8" s="125">
        <f>IFERROR(IF($D$2="Original",PV($F$76,$X8,(-0.05*0.9*$J8)),PV($F$76,$Z8,(-0.05*0.9*$N8))),0)</f>
        <v>32.934652874408116</v>
      </c>
      <c r="W8" s="125">
        <f>IFERROR(IF($D$2="Original",MAX(0,O8*(Q8-U8-V8)),MAX(0,O8*(S8-U8-V8))),0)</f>
        <v>11348.886052631811</v>
      </c>
      <c r="X8" s="116">
        <v>7</v>
      </c>
      <c r="Y8" s="146">
        <f>IF(INDEX('Com Measure Mapping'!X:X,MATCH($C8,'Com Measure Mapping'!B:B,0))="N/A",X8,INDEX('Com Measure Mapping'!X:X,MATCH($C8,'Com Measure Mapping'!B:B,0)))</f>
        <v>6</v>
      </c>
      <c r="Z8" s="118">
        <f>Y8</f>
        <v>6</v>
      </c>
      <c r="AA8" s="118">
        <f>IFERROR(IF($D$2="Original",PV($F$76,X8,-P8),PV($F$76,Z8,-P8)),0)</f>
        <v>29447.204853893942</v>
      </c>
      <c r="AB8" s="125">
        <f>I8*$AB$72</f>
        <v>18773.138654074854</v>
      </c>
      <c r="AC8" s="125">
        <v>125</v>
      </c>
      <c r="AD8" s="145">
        <f>IF(INDEX('Com Measure Mapping'!Y:Y,MATCH($C8,'Com Measure Mapping'!B:B,0))="N/A",AC8,INDEX('Com Measure Mapping'!Y:Y,MATCH($C8,'Com Measure Mapping'!B:B,0)))</f>
        <v>69.732542222222222</v>
      </c>
      <c r="AE8" s="147" t="str">
        <f>INDEX('Com Measure Mapping'!V:V,MATCH($C8,'Com Measure Mapping'!B:B,0))</f>
        <v>BoilerCtrl</v>
      </c>
      <c r="AF8" s="125">
        <f>AC8</f>
        <v>125</v>
      </c>
      <c r="AG8" s="125">
        <f>IFERROR(IF($D$2="Original",H8*AC8,H8*AF8),0)</f>
        <v>5029.3691551813645</v>
      </c>
      <c r="AH8" s="132">
        <f>IF(ISERROR(AG8/AA8),0,AG8/AA8)</f>
        <v>0.17079275198224145</v>
      </c>
      <c r="AI8" s="132">
        <f>IF(AA8=0,0,(AG8+AB8)/AA8)</f>
        <v>0.80831127868860198</v>
      </c>
      <c r="AJ8" s="121">
        <f>IFERROR(IF($D$2="Original",IF($AG8=0,"-",(VLOOKUP($X8,AC,7)*$P8)/($AG8+$AB8)),IF($AG8=0,"-",(VLOOKUP($Z8,AC,7)*$P8)/($AG8+$AB8))),0)</f>
        <v>1.3138468549331175</v>
      </c>
      <c r="AK8" s="76"/>
      <c r="AL8" s="132">
        <f>IF(ISERROR(W8/AA8),0,W8/AA8)</f>
        <v>0.38539773499524843</v>
      </c>
      <c r="AM8" s="132">
        <f>IF(AA8=0,0,(W8+AB8)/AA8)</f>
        <v>1.022916261701609</v>
      </c>
      <c r="AN8" s="121">
        <f>IFERROR(IF($D$2="Original",IF($W8=0,"-",(VLOOKUP($X8,AC,5)*$P8)/(W8+AB8)),IF($W8=0,"-",(VLOOKUP($Z8,AC,5)*$P8)/(W8+AB8))),0)</f>
        <v>0.94382313060447787</v>
      </c>
    </row>
    <row r="9" spans="1:40" ht="16.149999999999999" customHeight="1" thickBot="1" x14ac:dyDescent="0.25">
      <c r="B9" s="1">
        <v>6</v>
      </c>
      <c r="C9" s="104" t="str">
        <f>E9&amp;"_"&amp;F9&amp;"_"&amp;G9</f>
        <v>Boiler Vent Damper_Boiler Vent Damper_Minimum 1,000 kBtu/hr input</v>
      </c>
      <c r="E9" s="114" t="s">
        <v>14</v>
      </c>
      <c r="F9" s="114" t="s">
        <v>14</v>
      </c>
      <c r="G9" s="114" t="s">
        <v>152</v>
      </c>
      <c r="H9" s="120">
        <v>0</v>
      </c>
      <c r="I9" s="178">
        <v>0</v>
      </c>
      <c r="J9" s="120">
        <v>270</v>
      </c>
      <c r="K9" s="117" t="s">
        <v>47</v>
      </c>
      <c r="L9" s="119">
        <f>IF(INDEX('Com Measure Mapping'!U:U,MATCH($C9,'Com Measure Mapping'!B:B,0))="N/A",J9,INDEX('Com Measure Mapping'!U:U,MATCH($C9,'Com Measure Mapping'!B:B,0)))</f>
        <v>35.160559439977632</v>
      </c>
      <c r="M9" s="119" t="str">
        <f>INDEX('Com Measure Mapping'!V:V,MATCH($C9,'Com Measure Mapping'!B:B,0))</f>
        <v>BoilerCtrl</v>
      </c>
      <c r="N9" s="120">
        <v>0</v>
      </c>
      <c r="O9" s="120">
        <f>H9</f>
        <v>0</v>
      </c>
      <c r="P9" s="120">
        <f>$P$72*I9</f>
        <v>0</v>
      </c>
      <c r="Q9" s="126">
        <v>1.5</v>
      </c>
      <c r="R9" s="131">
        <f>IF(INDEX('Com Measure Mapping'!W:W,MATCH($C9,'Com Measure Mapping'!B:B,0))="N/A",Q9,INDEX('Com Measure Mapping'!W:W,MATCH($C9,'Com Measure Mapping'!B:B,0)))</f>
        <v>1863.8300000000002</v>
      </c>
      <c r="S9" s="126">
        <v>0</v>
      </c>
      <c r="T9" s="126">
        <f>IFERROR(IF($D$2="Original",O9*Q9,O9*S9),0)</f>
        <v>0</v>
      </c>
      <c r="U9" s="126">
        <v>0</v>
      </c>
      <c r="V9" s="126">
        <f>IFERROR(IF($D$2="Original",PV($F$76,$X9,(-0.05*0.9*$J9)),PV($F$76,$Z9,(-0.05*0.9*$N9))),0)</f>
        <v>0</v>
      </c>
      <c r="W9" s="126">
        <f>IFERROR(IF($D$2="Original",MAX(0,O9*(Q9-U9-V9)),MAX(0,O9*(S9-U9-V9))),0)</f>
        <v>0</v>
      </c>
      <c r="X9" s="117">
        <v>12</v>
      </c>
      <c r="Y9" s="128">
        <f>IF(INDEX('Com Measure Mapping'!X:X,MATCH($C9,'Com Measure Mapping'!B:B,0))="N/A",X9,INDEX('Com Measure Mapping'!X:X,MATCH($C9,'Com Measure Mapping'!B:B,0)))</f>
        <v>15</v>
      </c>
      <c r="Z9" s="120">
        <v>0</v>
      </c>
      <c r="AA9" s="120">
        <f>IFERROR(IF($D$2="Original",PV($F$76,X9,-P9),PV($F$76,Z9,-P9)),0)</f>
        <v>0</v>
      </c>
      <c r="AB9" s="126">
        <f>I9*$AB$72</f>
        <v>0</v>
      </c>
      <c r="AC9" s="126">
        <v>1000</v>
      </c>
      <c r="AD9" s="131">
        <f>IF(INDEX('Com Measure Mapping'!Y:Y,MATCH($C9,'Com Measure Mapping'!B:B,0))="N/A",AC9,INDEX('Com Measure Mapping'!Y:Y,MATCH($C9,'Com Measure Mapping'!B:B,0)))</f>
        <v>559.14771000000007</v>
      </c>
      <c r="AE9" s="119" t="str">
        <f>INDEX('Com Measure Mapping'!V:V,MATCH($C9,'Com Measure Mapping'!B:B,0))</f>
        <v>BoilerCtrl</v>
      </c>
      <c r="AF9" s="126">
        <v>0</v>
      </c>
      <c r="AG9" s="126">
        <f>IFERROR(IF($D$2="Original",H9*AC9,H9*AF9),0)</f>
        <v>0</v>
      </c>
      <c r="AH9" s="133">
        <f>IF(ISERROR(AG9/AA9),0,AG9/AA9)</f>
        <v>0</v>
      </c>
      <c r="AI9" s="133">
        <f>IF(AA9=0,0,(AG9+AB9)/AA9)</f>
        <v>0</v>
      </c>
      <c r="AJ9" s="122" t="str">
        <f>IFERROR(IF($D$2="Original",IF($AG9=0,"-",(VLOOKUP($X9,AC,7)*$P9)/($AG9+$AB9)),IF($AG9=0,"-",(VLOOKUP($Z9,AC,7)*$P9)/($AG9+$AB9))),0)</f>
        <v>-</v>
      </c>
      <c r="AK9" s="76"/>
      <c r="AL9" s="133">
        <f>IF(ISERROR(W9/AA9),0,W9/AA9)</f>
        <v>0</v>
      </c>
      <c r="AM9" s="133">
        <f>IF(AA9=0,0,(W9+AB9)/AA9)</f>
        <v>0</v>
      </c>
      <c r="AN9" s="122" t="str">
        <f>IFERROR(IF($D$2="Original",IF($W9=0,"-",(VLOOKUP($X9,AC,5)*$P9)/(W9+AB9)),IF($W9=0,"-",(VLOOKUP($Z9,AC,5)*$P9)/(W9+AB9))),0)</f>
        <v>-</v>
      </c>
    </row>
    <row r="10" spans="1:40" ht="13.5" thickBot="1" x14ac:dyDescent="0.25">
      <c r="C10" s="104" t="str">
        <f>E10&amp;"_"&amp;F10&amp;"_"&amp;G10</f>
        <v>Clothes Washer_Commercial Gas Washer_1.8 MEF</v>
      </c>
      <c r="D10" s="30"/>
      <c r="E10" s="113" t="s">
        <v>11</v>
      </c>
      <c r="F10" s="113" t="s">
        <v>16</v>
      </c>
      <c r="G10" s="113" t="s">
        <v>22</v>
      </c>
      <c r="H10" s="118">
        <f>P10/N10</f>
        <v>0</v>
      </c>
      <c r="I10" s="177">
        <v>0</v>
      </c>
      <c r="J10" s="118">
        <v>90</v>
      </c>
      <c r="K10" s="116" t="s">
        <v>47</v>
      </c>
      <c r="L10" s="147">
        <f>IF(INDEX('Com Measure Mapping'!U:U,MATCH($C10,'Com Measure Mapping'!B:B,0))="N/A",J10,INDEX('Com Measure Mapping'!U:U,MATCH($C10,'Com Measure Mapping'!B:B,0)))</f>
        <v>38.405828480981313</v>
      </c>
      <c r="M10" s="147" t="str">
        <f>INDEX('Com Measure Mapping'!V:V,MATCH($C10,'Com Measure Mapping'!B:B,0))</f>
        <v>ClothesWashers</v>
      </c>
      <c r="N10" s="118">
        <f>L10</f>
        <v>38.405828480981313</v>
      </c>
      <c r="O10" s="118">
        <f>H10</f>
        <v>0</v>
      </c>
      <c r="P10" s="118">
        <f>$P$72*I10</f>
        <v>0</v>
      </c>
      <c r="Q10" s="125">
        <v>200</v>
      </c>
      <c r="R10" s="145">
        <f>IF(INDEX('Com Measure Mapping'!W:W,MATCH($C10,'Com Measure Mapping'!B:B,0))="N/A",Q10,INDEX('Com Measure Mapping'!W:W,MATCH($C10,'Com Measure Mapping'!B:B,0)))</f>
        <v>443.38999999999993</v>
      </c>
      <c r="S10" s="125">
        <f>R10</f>
        <v>443.38999999999993</v>
      </c>
      <c r="T10" s="125">
        <f>IFERROR(IF($D$2="Original",O10*Q10,O10*S10),0)</f>
        <v>0</v>
      </c>
      <c r="U10" s="125">
        <v>0</v>
      </c>
      <c r="V10" s="125">
        <f>IFERROR(IF($D$2="Original",PV($F$76,$X10,(-0.05*0.9*$J10)),PV($F$76,$Z10,(-0.05*0.9*$N10))),0)</f>
        <v>10.741349426370741</v>
      </c>
      <c r="W10" s="125">
        <f>IFERROR(IF($D$2="Original",MAX(0,O10*(Q10-U10-V10)),MAX(0,O10*(S10-U10-V10))),0)</f>
        <v>0</v>
      </c>
      <c r="X10" s="116">
        <v>10</v>
      </c>
      <c r="Y10" s="146">
        <f>IF(INDEX('Com Measure Mapping'!X:X,MATCH($C10,'Com Measure Mapping'!B:B,0))="N/A",X10,INDEX('Com Measure Mapping'!X:X,MATCH($C10,'Com Measure Mapping'!B:B,0)))</f>
        <v>7.1000000000000005</v>
      </c>
      <c r="Z10" s="118">
        <f>Y10</f>
        <v>7.1000000000000005</v>
      </c>
      <c r="AA10" s="118">
        <f>IFERROR(IF($D$2="Original",PV($F$76,X10,-P10),PV($F$76,Z10,-P10)),0)</f>
        <v>0</v>
      </c>
      <c r="AB10" s="125">
        <f>I10*$AB$72</f>
        <v>0</v>
      </c>
      <c r="AC10" s="125">
        <v>180</v>
      </c>
      <c r="AD10" s="145">
        <f>IF(INDEX('Com Measure Mapping'!Y:Y,MATCH($C10,'Com Measure Mapping'!B:B,0))="N/A",AC10,INDEX('Com Measure Mapping'!Y:Y,MATCH($C10,'Com Measure Mapping'!B:B,0)))</f>
        <v>133.01757000000001</v>
      </c>
      <c r="AE10" s="147" t="str">
        <f>INDEX('Com Measure Mapping'!V:V,MATCH($C10,'Com Measure Mapping'!B:B,0))</f>
        <v>ClothesWashers</v>
      </c>
      <c r="AF10" s="125">
        <v>0</v>
      </c>
      <c r="AG10" s="125">
        <f>IFERROR(IF($D$2="Original",H10*AC10,H10*AF10),0)</f>
        <v>0</v>
      </c>
      <c r="AH10" s="132">
        <f>IF(ISERROR(AG10/AA10),0,AG10/AA10)</f>
        <v>0</v>
      </c>
      <c r="AI10" s="132">
        <f>IF(AA10=0,0,(AG10+AB10)/AA10)</f>
        <v>0</v>
      </c>
      <c r="AJ10" s="121" t="str">
        <f>IFERROR(IF($D$2="Original",IF($AG10=0,"-",(VLOOKUP($X10,AC,7)*$P10)/($AG10+$AB10)),IF($AG10=0,"-",(VLOOKUP($Z10,AC,7)*$P10)/($AG10+$AB10))),0)</f>
        <v>-</v>
      </c>
      <c r="AK10" s="76"/>
      <c r="AL10" s="132">
        <f>IF(ISERROR(W10/AA10),0,W10/AA10)</f>
        <v>0</v>
      </c>
      <c r="AM10" s="132">
        <f>IF(AA10=0,0,(W10+AB10)/AA10)</f>
        <v>0</v>
      </c>
      <c r="AN10" s="121" t="str">
        <f>IFERROR(IF($D$2="Original",IF($W10=0,"-",(VLOOKUP($X10,AC,5)*$P10)/(W10+AB10)),IF($W10=0,"-",(VLOOKUP($Z10,AC,5)*$P10)/(W10+AB10))),0)</f>
        <v>-</v>
      </c>
    </row>
    <row r="11" spans="1:40" ht="26.25" thickBot="1" x14ac:dyDescent="0.25">
      <c r="B11" s="1">
        <v>14</v>
      </c>
      <c r="C11" s="104" t="str">
        <f>E11&amp;"_"&amp;F11&amp;"_"&amp;G11</f>
        <v>Convection Oven (Grocery)_Energy Star_&gt;= 44% Cooking Efficiency,&lt;= 13,000 Btu/hr Idle Rate</v>
      </c>
      <c r="D11" s="30"/>
      <c r="E11" s="114" t="s">
        <v>134</v>
      </c>
      <c r="F11" s="114" t="s">
        <v>15</v>
      </c>
      <c r="G11" s="114" t="s">
        <v>85</v>
      </c>
      <c r="H11" s="120">
        <f>P11/N11</f>
        <v>1.1398396739130434</v>
      </c>
      <c r="I11" s="178">
        <v>1E-3</v>
      </c>
      <c r="J11" s="120">
        <v>368</v>
      </c>
      <c r="K11" s="117" t="s">
        <v>86</v>
      </c>
      <c r="L11" s="119">
        <f>IF(INDEX('Com Measure Mapping'!U:U,MATCH($C11,'Com Measure Mapping'!B:B,0))="N/A",J11,INDEX('Com Measure Mapping'!U:U,MATCH($C11,'Com Measure Mapping'!B:B,0)))</f>
        <v>243.37536850115339</v>
      </c>
      <c r="M11" s="119" t="str">
        <f>INDEX('Com Measure Mapping'!V:V,MATCH($C11,'Com Measure Mapping'!B:B,0))</f>
        <v>1 unit</v>
      </c>
      <c r="N11" s="120">
        <f>J11</f>
        <v>368</v>
      </c>
      <c r="O11" s="120">
        <f>H11</f>
        <v>1.1398396739130434</v>
      </c>
      <c r="P11" s="120">
        <f>$P$72*I11</f>
        <v>419.46100000000001</v>
      </c>
      <c r="Q11" s="126">
        <v>900</v>
      </c>
      <c r="R11" s="131">
        <f>IF(INDEX('Com Measure Mapping'!W:W,MATCH($C11,'Com Measure Mapping'!B:B,0))="N/A",Q11,INDEX('Com Measure Mapping'!W:W,MATCH($C11,'Com Measure Mapping'!B:B,0)))</f>
        <v>54.41</v>
      </c>
      <c r="S11" s="126">
        <f>Q11</f>
        <v>900</v>
      </c>
      <c r="T11" s="126">
        <f>IFERROR(IF($D$2="Original",O11*Q11,O11*S11),0)</f>
        <v>1025.855706521739</v>
      </c>
      <c r="U11" s="126">
        <v>0</v>
      </c>
      <c r="V11" s="126">
        <f>IFERROR(IF($D$2="Original",PV($F$76,$X11,(-0.05*0.9*$J11)),PV($F$76,$Z11,(-0.05*0.9*$N11))),0)</f>
        <v>160.97072351882352</v>
      </c>
      <c r="W11" s="126">
        <f>IFERROR(IF($D$2="Original",MAX(0,O11*(Q11-U11-V11)),MAX(0,O11*(S11-U11-V11))),0)</f>
        <v>842.37488951649652</v>
      </c>
      <c r="X11" s="117">
        <v>12</v>
      </c>
      <c r="Y11" s="128">
        <f>IF(INDEX('Com Measure Mapping'!X:X,MATCH($C11,'Com Measure Mapping'!B:B,0))="N/A",X11,INDEX('Com Measure Mapping'!X:X,MATCH($C11,'Com Measure Mapping'!B:B,0)))</f>
        <v>12</v>
      </c>
      <c r="Z11" s="120">
        <f>Y11</f>
        <v>12</v>
      </c>
      <c r="AA11" s="120">
        <f>IFERROR(IF($D$2="Original",PV($F$76,X11,-P11),PV($F$76,Z11,-P11)),0)</f>
        <v>4077.351489005388</v>
      </c>
      <c r="AB11" s="126">
        <f>I11*$AB$72</f>
        <v>1429.623</v>
      </c>
      <c r="AC11" s="126">
        <v>800</v>
      </c>
      <c r="AD11" s="131">
        <f>IF(INDEX('Com Measure Mapping'!Y:Y,MATCH($C11,'Com Measure Mapping'!B:B,0))="N/A",AC11,INDEX('Com Measure Mapping'!Y:Y,MATCH($C11,'Com Measure Mapping'!B:B,0)))</f>
        <v>54.406199999999998</v>
      </c>
      <c r="AE11" s="119" t="str">
        <f>INDEX('Com Measure Mapping'!V:V,MATCH($C11,'Com Measure Mapping'!B:B,0))</f>
        <v>1 unit</v>
      </c>
      <c r="AF11" s="126">
        <f>AC11</f>
        <v>800</v>
      </c>
      <c r="AG11" s="126">
        <f>IFERROR(IF($D$2="Original",H11*AC11,H11*AF11),0)</f>
        <v>911.87173913043478</v>
      </c>
      <c r="AH11" s="133">
        <f>IF(ISERROR(AG11/AA11),0,AG11/AA11)</f>
        <v>0.22364315207783889</v>
      </c>
      <c r="AI11" s="133">
        <f>IF(AA11=0,0,(AG11+AB11)/AA11)</f>
        <v>0.57426855286925715</v>
      </c>
      <c r="AJ11" s="122">
        <f>IFERROR(IF($D$2="Original",IF($AG11=0,"-",(VLOOKUP($X11,AC,7)*$P11)/($AG11+$AB11)),IF($AG11=0,"-",(VLOOKUP($Z11,AC,7)*$P11)/($AG11+$AB11))),0)</f>
        <v>2.1311315482346798</v>
      </c>
      <c r="AK11" s="76"/>
      <c r="AL11" s="133">
        <f>IF(ISERROR(W11/AA11),0,W11/AA11)</f>
        <v>0.2065985460875687</v>
      </c>
      <c r="AM11" s="133">
        <f>IF(AA11=0,0,(W11+AB11)/AA11)</f>
        <v>0.55722394687898702</v>
      </c>
      <c r="AN11" s="122">
        <f>IFERROR(IF($D$2="Original",IF($W11=0,"-",(VLOOKUP($X11,AC,5)*$P11)/(W11+AB11)),IF($W11=0,"-",(VLOOKUP($Z11,AC,5)*$P11)/(W11+AB11))),0)</f>
        <v>1.9966541068672017</v>
      </c>
    </row>
    <row r="12" spans="1:40" ht="26.25" thickBot="1" x14ac:dyDescent="0.25">
      <c r="B12" s="168" t="s">
        <v>410</v>
      </c>
      <c r="C12" s="104" t="str">
        <f>E12&amp;"_"&amp;F12&amp;"_"&amp;G12</f>
        <v>Convection Oven (Lodging)_Energy Star_&gt;= 44% Cooking Efficiency,&lt;= 13,000 Btu/hr Idle Rate</v>
      </c>
      <c r="D12" s="30"/>
      <c r="E12" s="113" t="s">
        <v>135</v>
      </c>
      <c r="F12" s="113" t="s">
        <v>15</v>
      </c>
      <c r="G12" s="113" t="s">
        <v>85</v>
      </c>
      <c r="H12" s="118">
        <f>P12/N12</f>
        <v>9.5767351598173516</v>
      </c>
      <c r="I12" s="177">
        <v>5.0000000000000001E-3</v>
      </c>
      <c r="J12" s="118">
        <v>219</v>
      </c>
      <c r="K12" s="116" t="s">
        <v>86</v>
      </c>
      <c r="L12" s="147">
        <f>IF(INDEX('Com Measure Mapping'!U:U,MATCH($C12,'Com Measure Mapping'!B:B,0))="N/A",J12,INDEX('Com Measure Mapping'!U:U,MATCH($C12,'Com Measure Mapping'!B:B,0)))</f>
        <v>243.37536850115333</v>
      </c>
      <c r="M12" s="147" t="str">
        <f>INDEX('Com Measure Mapping'!V:V,MATCH($C12,'Com Measure Mapping'!B:B,0))</f>
        <v>1 unit</v>
      </c>
      <c r="N12" s="118">
        <f>J12</f>
        <v>219</v>
      </c>
      <c r="O12" s="118">
        <f>H12</f>
        <v>9.5767351598173516</v>
      </c>
      <c r="P12" s="118">
        <f>$P$72*I12</f>
        <v>2097.3049999999998</v>
      </c>
      <c r="Q12" s="125">
        <v>900</v>
      </c>
      <c r="R12" s="145">
        <f>IF(INDEX('Com Measure Mapping'!W:W,MATCH($C12,'Com Measure Mapping'!B:B,0))="N/A",Q12,INDEX('Com Measure Mapping'!W:W,MATCH($C12,'Com Measure Mapping'!B:B,0)))</f>
        <v>54.41</v>
      </c>
      <c r="S12" s="125">
        <f>Q12</f>
        <v>900</v>
      </c>
      <c r="T12" s="125">
        <f>IFERROR(IF($D$2="Original",O12*Q12,O12*S12),0)</f>
        <v>8619.0616438356155</v>
      </c>
      <c r="U12" s="125">
        <v>0</v>
      </c>
      <c r="V12" s="125">
        <f>IFERROR(IF($D$2="Original",PV($F$76,$X12,(-0.05*0.9*$J12)),PV($F$76,$Z12,(-0.05*0.9*$N12))),0)</f>
        <v>95.795077311473776</v>
      </c>
      <c r="W12" s="125">
        <f>IFERROR(IF($D$2="Original",MAX(0,O12*(Q12-U12-V12)),MAX(0,O12*(S12-U12-V12))),0)</f>
        <v>7701.6575588094047</v>
      </c>
      <c r="X12" s="116">
        <v>12</v>
      </c>
      <c r="Y12" s="146">
        <f>IF(INDEX('Com Measure Mapping'!X:X,MATCH($C12,'Com Measure Mapping'!B:B,0))="N/A",X12,INDEX('Com Measure Mapping'!X:X,MATCH($C12,'Com Measure Mapping'!B:B,0)))</f>
        <v>12</v>
      </c>
      <c r="Z12" s="118">
        <f>Y12</f>
        <v>12</v>
      </c>
      <c r="AA12" s="118">
        <f>IFERROR(IF($D$2="Original",PV($F$76,X12,-P12),PV($F$76,Z12,-P12)),0)</f>
        <v>20386.757445026939</v>
      </c>
      <c r="AB12" s="125">
        <f>I12*$AB$72</f>
        <v>7148.1149999999998</v>
      </c>
      <c r="AC12" s="125">
        <v>800</v>
      </c>
      <c r="AD12" s="145">
        <f>IF(INDEX('Com Measure Mapping'!Y:Y,MATCH($C12,'Com Measure Mapping'!B:B,0))="N/A",AC12,INDEX('Com Measure Mapping'!Y:Y,MATCH($C12,'Com Measure Mapping'!B:B,0)))</f>
        <v>54.406199999999998</v>
      </c>
      <c r="AE12" s="147" t="str">
        <f>INDEX('Com Measure Mapping'!V:V,MATCH($C12,'Com Measure Mapping'!B:B,0))</f>
        <v>1 unit</v>
      </c>
      <c r="AF12" s="125">
        <f>AC12</f>
        <v>800</v>
      </c>
      <c r="AG12" s="125">
        <f>IFERROR(IF($D$2="Original",H12*AC12,H12*AF12),0)</f>
        <v>7661.3881278538811</v>
      </c>
      <c r="AH12" s="132">
        <f>IF(ISERROR(AG12/AA12),0,AG12/AA12)</f>
        <v>0.37580219161938222</v>
      </c>
      <c r="AI12" s="132">
        <f>IF(AA12=0,0,(AG12+AB12)/AA12)</f>
        <v>0.72642759241080046</v>
      </c>
      <c r="AJ12" s="121">
        <f>IFERROR(IF($D$2="Original",IF($AG12=0,"-",(VLOOKUP($X12,AC,7)*$P12)/($AG12+$AB12)),IF($AG12=0,"-",(VLOOKUP($Z12,AC,7)*$P12)/($AG12+$AB12))),0)</f>
        <v>1.6847402865262542</v>
      </c>
      <c r="AK12" s="76"/>
      <c r="AL12" s="132">
        <f>IF(ISERROR(W12/AA12),0,W12/AA12)</f>
        <v>0.37777746557180508</v>
      </c>
      <c r="AM12" s="132">
        <f>IF(AA12=0,0,(W12+AB12)/AA12)</f>
        <v>0.72840286636322327</v>
      </c>
      <c r="AN12" s="121">
        <f>IFERROR(IF($D$2="Original",IF($W12=0,"-",(VLOOKUP($X12,AC,5)*$P12)/(W12+AB12)),IF($W12=0,"-",(VLOOKUP($Z12,AC,5)*$P12)/(W12+AB12))),0)</f>
        <v>1.527428753178304</v>
      </c>
    </row>
    <row r="13" spans="1:40" ht="26.25" thickBot="1" x14ac:dyDescent="0.25">
      <c r="B13" s="168" t="s">
        <v>411</v>
      </c>
      <c r="C13" s="104" t="str">
        <f>E13&amp;"_"&amp;F13&amp;"_"&amp;G13</f>
        <v>Convection Oven (Restaurant)_Energy Star_&gt;= 44% Cooking Efficiency,&lt;= 13,000 Btu/hr Idle Rate</v>
      </c>
      <c r="D13" s="30"/>
      <c r="E13" s="114" t="s">
        <v>84</v>
      </c>
      <c r="F13" s="114" t="s">
        <v>15</v>
      </c>
      <c r="G13" s="114" t="s">
        <v>85</v>
      </c>
      <c r="H13" s="120">
        <f>P13/N13</f>
        <v>3.2315947611710323</v>
      </c>
      <c r="I13" s="178">
        <v>5.0000000000000001E-3</v>
      </c>
      <c r="J13" s="120">
        <v>649</v>
      </c>
      <c r="K13" s="117" t="s">
        <v>86</v>
      </c>
      <c r="L13" s="119">
        <f>IF(INDEX('Com Measure Mapping'!U:U,MATCH($C13,'Com Measure Mapping'!B:B,0))="N/A",J13,INDEX('Com Measure Mapping'!U:U,MATCH($C13,'Com Measure Mapping'!B:B,0)))</f>
        <v>243.3753685011533</v>
      </c>
      <c r="M13" s="119" t="str">
        <f>INDEX('Com Measure Mapping'!V:V,MATCH($C13,'Com Measure Mapping'!B:B,0))</f>
        <v>1 unit</v>
      </c>
      <c r="N13" s="120">
        <f>J13</f>
        <v>649</v>
      </c>
      <c r="O13" s="120">
        <f>H13</f>
        <v>3.2315947611710323</v>
      </c>
      <c r="P13" s="120">
        <f>$P$72*I13</f>
        <v>2097.3049999999998</v>
      </c>
      <c r="Q13" s="126">
        <v>900</v>
      </c>
      <c r="R13" s="131">
        <f>IF(INDEX('Com Measure Mapping'!W:W,MATCH($C13,'Com Measure Mapping'!B:B,0))="N/A",Q13,INDEX('Com Measure Mapping'!W:W,MATCH($C13,'Com Measure Mapping'!B:B,0)))</f>
        <v>54.41</v>
      </c>
      <c r="S13" s="126">
        <f>Q13</f>
        <v>900</v>
      </c>
      <c r="T13" s="126">
        <f>IFERROR(IF($D$2="Original",O13*Q13,O13*S13),0)</f>
        <v>2908.435285053929</v>
      </c>
      <c r="U13" s="126">
        <v>0</v>
      </c>
      <c r="V13" s="126">
        <f>IFERROR(IF($D$2="Original",PV($F$76,$X13,(-0.05*0.9*$J13)),PV($F$76,$Z13,(-0.05*0.9*$N13))),0)</f>
        <v>283.88586837966432</v>
      </c>
      <c r="W13" s="126">
        <f>IFERROR(IF($D$2="Original",MAX(0,O13*(Q13-U13-V13)),MAX(0,O13*(S13-U13-V13))),0)</f>
        <v>1991.0312000277167</v>
      </c>
      <c r="X13" s="117">
        <v>12</v>
      </c>
      <c r="Y13" s="128">
        <f>IF(INDEX('Com Measure Mapping'!X:X,MATCH($C13,'Com Measure Mapping'!B:B,0))="N/A",X13,INDEX('Com Measure Mapping'!X:X,MATCH($C13,'Com Measure Mapping'!B:B,0)))</f>
        <v>12</v>
      </c>
      <c r="Z13" s="120">
        <f>Y13</f>
        <v>12</v>
      </c>
      <c r="AA13" s="120">
        <f>IFERROR(IF($D$2="Original",PV($F$76,X13,-P13),PV($F$76,Z13,-P13)),0)</f>
        <v>20386.757445026939</v>
      </c>
      <c r="AB13" s="126">
        <f>I13*$AB$72</f>
        <v>7148.1149999999998</v>
      </c>
      <c r="AC13" s="126">
        <v>800</v>
      </c>
      <c r="AD13" s="131">
        <f>IF(INDEX('Com Measure Mapping'!Y:Y,MATCH($C13,'Com Measure Mapping'!B:B,0))="N/A",AC13,INDEX('Com Measure Mapping'!Y:Y,MATCH($C13,'Com Measure Mapping'!B:B,0)))</f>
        <v>54.406199999999998</v>
      </c>
      <c r="AE13" s="119" t="str">
        <f>INDEX('Com Measure Mapping'!V:V,MATCH($C13,'Com Measure Mapping'!B:B,0))</f>
        <v>1 unit</v>
      </c>
      <c r="AF13" s="126">
        <f>AC13</f>
        <v>800</v>
      </c>
      <c r="AG13" s="126">
        <f>IFERROR(IF($D$2="Original",H13*AC13,H13*AF13),0)</f>
        <v>2585.2758089368258</v>
      </c>
      <c r="AH13" s="133">
        <f>IF(ISERROR(AG13/AA13),0,AG13/AA13)</f>
        <v>0.12681152536925225</v>
      </c>
      <c r="AI13" s="133">
        <f>IF(AA13=0,0,(AG13+AB13)/AA13)</f>
        <v>0.47743692616067046</v>
      </c>
      <c r="AJ13" s="122">
        <f>IFERROR(IF($D$2="Original",IF($AG13=0,"-",(VLOOKUP($X13,AC,7)*$P13)/($AG13+$AB13)),IF($AG13=0,"-",(VLOOKUP($Z13,AC,7)*$P13)/($AG13+$AB13))),0)</f>
        <v>2.5633581382578128</v>
      </c>
      <c r="AK13" s="76"/>
      <c r="AL13" s="133">
        <f>IF(ISERROR(W13/AA13),0,W13/AA13)</f>
        <v>9.7662966040408777E-2</v>
      </c>
      <c r="AM13" s="133">
        <f>IF(AA13=0,0,(W13+AB13)/AA13)</f>
        <v>0.44828836683182705</v>
      </c>
      <c r="AN13" s="122">
        <f>IFERROR(IF($D$2="Original",IF($W13=0,"-",(VLOOKUP($X13,AC,5)*$P13)/(W13+AB13)),IF($W13=0,"-",(VLOOKUP($Z13,AC,5)*$P13)/(W13+AB13))),0)</f>
        <v>2.4818477665249352</v>
      </c>
    </row>
    <row r="14" spans="1:40" ht="26.25" thickBot="1" x14ac:dyDescent="0.25">
      <c r="B14" s="168" t="s">
        <v>412</v>
      </c>
      <c r="C14" s="104" t="str">
        <f>E14&amp;"_"&amp;F14&amp;"_"&amp;G14</f>
        <v>Convection Oven (School)_Energy Star_&gt;= 44% Cooking Efficiency,&lt;= 13,000 Btu/hr Idle Rate</v>
      </c>
      <c r="D14" s="30"/>
      <c r="E14" s="113" t="s">
        <v>136</v>
      </c>
      <c r="F14" s="113" t="s">
        <v>15</v>
      </c>
      <c r="G14" s="113" t="s">
        <v>85</v>
      </c>
      <c r="H14" s="118">
        <f>P14/N14</f>
        <v>2.9749007092198583</v>
      </c>
      <c r="I14" s="177">
        <v>1E-3</v>
      </c>
      <c r="J14" s="118">
        <v>141</v>
      </c>
      <c r="K14" s="116" t="s">
        <v>86</v>
      </c>
      <c r="L14" s="147">
        <f>IF(INDEX('Com Measure Mapping'!U:U,MATCH($C14,'Com Measure Mapping'!B:B,0))="N/A",J14,INDEX('Com Measure Mapping'!U:U,MATCH($C14,'Com Measure Mapping'!B:B,0)))</f>
        <v>243.37536850115336</v>
      </c>
      <c r="M14" s="147" t="str">
        <f>INDEX('Com Measure Mapping'!V:V,MATCH($C14,'Com Measure Mapping'!B:B,0))</f>
        <v>1 unit</v>
      </c>
      <c r="N14" s="118">
        <f>J14</f>
        <v>141</v>
      </c>
      <c r="O14" s="118">
        <f>H14</f>
        <v>2.9749007092198583</v>
      </c>
      <c r="P14" s="118">
        <f>$P$72*I14</f>
        <v>419.46100000000001</v>
      </c>
      <c r="Q14" s="125">
        <v>900</v>
      </c>
      <c r="R14" s="145">
        <f>IF(INDEX('Com Measure Mapping'!W:W,MATCH($C14,'Com Measure Mapping'!B:B,0))="N/A",Q14,INDEX('Com Measure Mapping'!W:W,MATCH($C14,'Com Measure Mapping'!B:B,0)))</f>
        <v>54.41</v>
      </c>
      <c r="S14" s="125">
        <f>Q14</f>
        <v>900</v>
      </c>
      <c r="T14" s="125">
        <f>IFERROR(IF($D$2="Original",O14*Q14,O14*S14),0)</f>
        <v>2677.4106382978725</v>
      </c>
      <c r="U14" s="125">
        <v>0</v>
      </c>
      <c r="V14" s="125">
        <f>IFERROR(IF($D$2="Original",PV($F$76,$X14,(-0.05*0.9*$J14)),PV($F$76,$Z14,(-0.05*0.9*$N14))),0)</f>
        <v>61.676282652592704</v>
      </c>
      <c r="W14" s="125">
        <f>IFERROR(IF($D$2="Original",MAX(0,O14*(Q14-U14-V14)),MAX(0,O14*(S14-U14-V14))),0)</f>
        <v>2493.9298212926301</v>
      </c>
      <c r="X14" s="116">
        <v>12</v>
      </c>
      <c r="Y14" s="146">
        <f>IF(INDEX('Com Measure Mapping'!X:X,MATCH($C14,'Com Measure Mapping'!B:B,0))="N/A",X14,INDEX('Com Measure Mapping'!X:X,MATCH($C14,'Com Measure Mapping'!B:B,0)))</f>
        <v>12</v>
      </c>
      <c r="Z14" s="118">
        <f>Y14</f>
        <v>12</v>
      </c>
      <c r="AA14" s="118">
        <f>IFERROR(IF($D$2="Original",PV($F$76,X14,-P14),PV($F$76,Z14,-P14)),0)</f>
        <v>4077.351489005388</v>
      </c>
      <c r="AB14" s="125">
        <f>I14*$AB$72</f>
        <v>1429.623</v>
      </c>
      <c r="AC14" s="125">
        <v>800</v>
      </c>
      <c r="AD14" s="145">
        <f>IF(INDEX('Com Measure Mapping'!Y:Y,MATCH($C14,'Com Measure Mapping'!B:B,0))="N/A",AC14,INDEX('Com Measure Mapping'!Y:Y,MATCH($C14,'Com Measure Mapping'!B:B,0)))</f>
        <v>54.406199999999998</v>
      </c>
      <c r="AE14" s="147" t="str">
        <f>INDEX('Com Measure Mapping'!V:V,MATCH($C14,'Com Measure Mapping'!B:B,0))</f>
        <v>1 unit</v>
      </c>
      <c r="AF14" s="125">
        <f>AC14</f>
        <v>800</v>
      </c>
      <c r="AG14" s="125">
        <f>IFERROR(IF($D$2="Original",H14*AC14,H14*AF14),0)</f>
        <v>2379.9205673758865</v>
      </c>
      <c r="AH14" s="132">
        <f>IF(ISERROR(AG14/AA14),0,AG14/AA14)</f>
        <v>0.58369276570670003</v>
      </c>
      <c r="AI14" s="132">
        <f>IF(AA14=0,0,(AG14+AB14)/AA14)</f>
        <v>0.93431816649811827</v>
      </c>
      <c r="AJ14" s="121">
        <f>IFERROR(IF($D$2="Original",IF($AG14=0,"-",(VLOOKUP($X14,AC,7)*$P14)/($AG14+$AB14)),IF($AG14=0,"-",(VLOOKUP($Z14,AC,7)*$P14)/($AG14+$AB14))),0)</f>
        <v>1.3098769499107388</v>
      </c>
      <c r="AK14" s="76"/>
      <c r="AL14" s="132">
        <f>IF(ISERROR(W14/AA14),0,W14/AA14)</f>
        <v>0.6116543614200376</v>
      </c>
      <c r="AM14" s="132">
        <f>IF(AA14=0,0,(W14+AB14)/AA14)</f>
        <v>0.96227976221145584</v>
      </c>
      <c r="AN14" s="121">
        <f>IFERROR(IF($D$2="Original",IF($W14=0,"-",(VLOOKUP($X14,AC,5)*$P14)/(W14+AB14)),IF($W14=0,"-",(VLOOKUP($Z14,AC,5)*$P14)/(W14+AB14))),0)</f>
        <v>1.1561954492566753</v>
      </c>
    </row>
    <row r="15" spans="1:40" s="3" customFormat="1" ht="26.25" thickBot="1" x14ac:dyDescent="0.25">
      <c r="B15" s="3">
        <v>8</v>
      </c>
      <c r="C15" s="104" t="str">
        <f>E15&amp;"_"&amp;F15&amp;"_"&amp;G15</f>
        <v>DCV_Demand Control Ventilation_Meet JUARC Guidelines for DCV RTUs in 5-20 ton</v>
      </c>
      <c r="D15" s="30"/>
      <c r="E15" s="114" t="s">
        <v>82</v>
      </c>
      <c r="F15" s="114" t="s">
        <v>59</v>
      </c>
      <c r="G15" s="114" t="s">
        <v>61</v>
      </c>
      <c r="H15" s="120">
        <f>P15/N15</f>
        <v>492.48928877471053</v>
      </c>
      <c r="I15" s="178">
        <v>1.3272117925161062E-2</v>
      </c>
      <c r="J15" s="120">
        <v>13</v>
      </c>
      <c r="K15" s="117" t="s">
        <v>83</v>
      </c>
      <c r="L15" s="119">
        <f>IF(INDEX('Com Measure Mapping'!U:U,MATCH($C15,'Com Measure Mapping'!B:B,0))="N/A",J15,INDEX('Com Measure Mapping'!U:U,MATCH($C15,'Com Measure Mapping'!B:B,0)))</f>
        <v>11.304074999999997</v>
      </c>
      <c r="M15" s="119" t="str">
        <f>INDEX('Com Measure Mapping'!V:V,MATCH($C15,'Com Measure Mapping'!B:B,0))</f>
        <v>ton</v>
      </c>
      <c r="N15" s="120">
        <f>L15</f>
        <v>11.304074999999997</v>
      </c>
      <c r="O15" s="120">
        <f>H15</f>
        <v>492.48928877471053</v>
      </c>
      <c r="P15" s="120">
        <f>$P$72*I15</f>
        <v>5567.1358570059847</v>
      </c>
      <c r="Q15" s="126">
        <v>55</v>
      </c>
      <c r="R15" s="131">
        <f>IF(INDEX('Com Measure Mapping'!W:W,MATCH($C15,'Com Measure Mapping'!B:B,0))="N/A",Q15,INDEX('Com Measure Mapping'!W:W,MATCH($C15,'Com Measure Mapping'!B:B,0)))</f>
        <v>106.81875000000001</v>
      </c>
      <c r="S15" s="126">
        <f>R15</f>
        <v>106.81875000000001</v>
      </c>
      <c r="T15" s="126">
        <f>IFERROR(IF($D$2="Original",O15*Q15,O15*S15),0)</f>
        <v>52607.090215303615</v>
      </c>
      <c r="U15" s="126">
        <v>0</v>
      </c>
      <c r="V15" s="126">
        <f>IFERROR(IF($D$2="Original",PV($F$76,$X15,(-0.05*0.9*$J15)),PV($F$76,$Z15,(-0.05*0.9*$N15))),0)</f>
        <v>5.9006008852534126</v>
      </c>
      <c r="W15" s="126">
        <f>IFERROR(IF($D$2="Original",MAX(0,O15*(Q15-U15-V15)),MAX(0,O15*(S15-U15-V15))),0)</f>
        <v>49701.107481981737</v>
      </c>
      <c r="X15" s="117">
        <v>10</v>
      </c>
      <c r="Y15" s="128">
        <f>IF(INDEX('Com Measure Mapping'!X:X,MATCH($C15,'Com Measure Mapping'!B:B,0))="N/A",X15,INDEX('Com Measure Mapping'!X:X,MATCH($C15,'Com Measure Mapping'!B:B,0)))</f>
        <v>15</v>
      </c>
      <c r="Z15" s="120">
        <f>Y15</f>
        <v>15</v>
      </c>
      <c r="AA15" s="120">
        <f>IFERROR(IF($D$2="Original",PV($F$76,X15,-P15),PV($F$76,Z15,-P15)),0)</f>
        <v>64577.394073819552</v>
      </c>
      <c r="AB15" s="126">
        <f>I15*$AB$72</f>
        <v>18974.125044522534</v>
      </c>
      <c r="AC15" s="126">
        <v>20</v>
      </c>
      <c r="AD15" s="131">
        <f>IF(INDEX('Com Measure Mapping'!Y:Y,MATCH($C15,'Com Measure Mapping'!B:B,0))="N/A",AC15,INDEX('Com Measure Mapping'!Y:Y,MATCH($C15,'Com Measure Mapping'!B:B,0)))</f>
        <v>44.861943750000002</v>
      </c>
      <c r="AE15" s="119" t="str">
        <f>INDEX('Com Measure Mapping'!V:V,MATCH($C15,'Com Measure Mapping'!B:B,0))</f>
        <v>ton</v>
      </c>
      <c r="AF15" s="126">
        <v>60</v>
      </c>
      <c r="AG15" s="126">
        <f>IFERROR(IF($D$2="Original",H15*AC15,H15*AF15),0)</f>
        <v>29549.357326482634</v>
      </c>
      <c r="AH15" s="133">
        <f>IF(ISERROR(AG15/AA15),0,AG15/AA15)</f>
        <v>0.45758051637550201</v>
      </c>
      <c r="AI15" s="133">
        <f>IF(AA15=0,0,(AG15+AB15)/AA15)</f>
        <v>0.75140044077246482</v>
      </c>
      <c r="AJ15" s="122">
        <f>IFERROR(IF($D$2="Original",IF($AG15=0,"-",(VLOOKUP($X15,AC,7)*$P15)/($AG15+$AB15)),IF($AG15=0,"-",(VLOOKUP($Z15,AC,7)*$P15)/($AG15+$AB15))),0)</f>
        <v>1.7455064791431836</v>
      </c>
      <c r="AK15" s="76"/>
      <c r="AL15" s="133">
        <f>IF(ISERROR(W15/AA15),0,W15/AA15)</f>
        <v>0.76963631305976099</v>
      </c>
      <c r="AM15" s="133">
        <f>IF(AA15=0,0,(W15+AB15)/AA15)</f>
        <v>1.0634562374567238</v>
      </c>
      <c r="AN15" s="122">
        <f>IFERROR(IF($D$2="Original",IF($W15=0,"-",(VLOOKUP($X15,AC,5)*$P15)/(W15+AB15)),IF($W15=0,"-",(VLOOKUP($Z15,AC,5)*$P15)/(W15+AB15))),0)</f>
        <v>1.1211935809806821</v>
      </c>
    </row>
    <row r="16" spans="1:40" s="3" customFormat="1" ht="26.25" thickBot="1" x14ac:dyDescent="0.25">
      <c r="B16" s="3">
        <v>27</v>
      </c>
      <c r="C16" s="104" t="str">
        <f>E16&amp;"_"&amp;F16&amp;"_"&amp;G16</f>
        <v>DHW Recirculation Controls_Schedule Control for Continuous Operation DHW Recirculation Pump_Add time clock or other schedule control for continuous operation DHW recirculation pump</v>
      </c>
      <c r="D16" s="30"/>
      <c r="E16" s="113" t="s">
        <v>137</v>
      </c>
      <c r="F16" s="113" t="s">
        <v>153</v>
      </c>
      <c r="G16" s="113" t="s">
        <v>154</v>
      </c>
      <c r="H16" s="118">
        <f>P16/N16</f>
        <v>5.8258472222222224</v>
      </c>
      <c r="I16" s="177">
        <v>1E-3</v>
      </c>
      <c r="J16" s="118">
        <v>72</v>
      </c>
      <c r="K16" s="116" t="s">
        <v>166</v>
      </c>
      <c r="L16" s="147">
        <f>IF(INDEX('Com Measure Mapping'!U:U,MATCH($C16,'Com Measure Mapping'!B:B,0))="N/A",J16,INDEX('Com Measure Mapping'!U:U,MATCH($C16,'Com Measure Mapping'!B:B,0)))</f>
        <v>646.52388499057565</v>
      </c>
      <c r="M16" s="147" t="str">
        <f>INDEX('Com Measure Mapping'!V:V,MATCH($C16,'Com Measure Mapping'!B:B,0))</f>
        <v>perBldg</v>
      </c>
      <c r="N16" s="118">
        <f>J16</f>
        <v>72</v>
      </c>
      <c r="O16" s="118">
        <f>H16</f>
        <v>5.8258472222222224</v>
      </c>
      <c r="P16" s="118">
        <f>$P$72*I16</f>
        <v>419.46100000000001</v>
      </c>
      <c r="Q16" s="125">
        <v>300</v>
      </c>
      <c r="R16" s="145">
        <f>IF(INDEX('Com Measure Mapping'!W:W,MATCH($C16,'Com Measure Mapping'!B:B,0))="N/A",Q16,INDEX('Com Measure Mapping'!W:W,MATCH($C16,'Com Measure Mapping'!B:B,0)))</f>
        <v>2146.2999999999997</v>
      </c>
      <c r="S16" s="125">
        <f>Q16</f>
        <v>300</v>
      </c>
      <c r="T16" s="125">
        <f>IFERROR(IF($D$2="Original",O16*Q16,O16*S16),0)</f>
        <v>1747.7541666666666</v>
      </c>
      <c r="U16" s="125">
        <v>0</v>
      </c>
      <c r="V16" s="125">
        <f>IFERROR(IF($D$2="Original",PV($F$76,$X16,(-0.05*0.9*$J16)),PV($F$76,$Z16,(-0.05*0.9*$N16))),0)</f>
        <v>37.583195771281218</v>
      </c>
      <c r="W16" s="125">
        <f>IFERROR(IF($D$2="Original",MAX(0,O16*(Q16-U16-V16)),MAX(0,O16*(S16-U16-V16))),0)</f>
        <v>1528.8002099803141</v>
      </c>
      <c r="X16" s="116">
        <v>15</v>
      </c>
      <c r="Y16" s="146">
        <f>IF(INDEX('Com Measure Mapping'!X:X,MATCH($C16,'Com Measure Mapping'!B:B,0))="N/A",X16,INDEX('Com Measure Mapping'!X:X,MATCH($C16,'Com Measure Mapping'!B:B,0)))</f>
        <v>15</v>
      </c>
      <c r="Z16" s="118">
        <f>Y16</f>
        <v>15</v>
      </c>
      <c r="AA16" s="118">
        <f>IFERROR(IF($D$2="Original",PV($F$76,X16,-P16),PV($F$76,Z16,-P16)),0)</f>
        <v>4865.6434819189481</v>
      </c>
      <c r="AB16" s="125">
        <f>I16*$AB$72</f>
        <v>1429.623</v>
      </c>
      <c r="AC16" s="125">
        <v>200</v>
      </c>
      <c r="AD16" s="145">
        <f>IF(INDEX('Com Measure Mapping'!Y:Y,MATCH($C16,'Com Measure Mapping'!B:B,0))="N/A",AC16,INDEX('Com Measure Mapping'!Y:Y,MATCH($C16,'Com Measure Mapping'!B:B,0)))</f>
        <v>2009.443231101179</v>
      </c>
      <c r="AE16" s="147" t="str">
        <f>INDEX('Com Measure Mapping'!V:V,MATCH($C16,'Com Measure Mapping'!B:B,0))</f>
        <v>perBldg</v>
      </c>
      <c r="AF16" s="125">
        <f>AC16</f>
        <v>200</v>
      </c>
      <c r="AG16" s="125">
        <f>IFERROR(IF($D$2="Original",H16*AC16,H16*AF16),0)</f>
        <v>1165.1694444444445</v>
      </c>
      <c r="AH16" s="132">
        <f>IF(ISERROR(AG16/AA16),0,AG16/AA16)</f>
        <v>0.23946872572441671</v>
      </c>
      <c r="AI16" s="132">
        <f>IF(AA16=0,0,(AG16+AB16)/AA16)</f>
        <v>0.53328865012137949</v>
      </c>
      <c r="AJ16" s="121">
        <f>IFERROR(IF($D$2="Original",IF($AG16=0,"-",(VLOOKUP($X16,AC,7)*$P16)/($AG16+$AB16)),IF($AG16=0,"-",(VLOOKUP($Z16,AC,7)*$P16)/($AG16+$AB16))),0)</f>
        <v>2.4594079350851734</v>
      </c>
      <c r="AK16" s="76"/>
      <c r="AL16" s="132">
        <f>IF(ISERROR(W16/AA16),0,W16/AA16)</f>
        <v>0.31420308858662505</v>
      </c>
      <c r="AM16" s="132">
        <f>IF(AA16=0,0,(W16+AB16)/AA16)</f>
        <v>0.60802301298358785</v>
      </c>
      <c r="AN16" s="121">
        <f>IFERROR(IF($D$2="Original",IF($W16=0,"-",(VLOOKUP($X16,AC,5)*$P16)/(W16+AB16)),IF($W16=0,"-",(VLOOKUP($Z16,AC,5)*$P16)/(W16+AB16))),0)</f>
        <v>1.9610118065095854</v>
      </c>
    </row>
    <row r="17" spans="1:40" s="3" customFormat="1" ht="13.5" thickBot="1" x14ac:dyDescent="0.25">
      <c r="B17" s="3">
        <v>9</v>
      </c>
      <c r="C17" s="104" t="str">
        <f>E17&amp;"_"&amp;F17&amp;"_"&amp;G17</f>
        <v>Domestic Hot Water Tanks - Condensing_Condensing Tank_Minimum 91% AFUE or 91% Thermal Efficiency</v>
      </c>
      <c r="D17" s="30"/>
      <c r="E17" s="114" t="s">
        <v>101</v>
      </c>
      <c r="F17" s="114" t="s">
        <v>13</v>
      </c>
      <c r="G17" s="114" t="s">
        <v>21</v>
      </c>
      <c r="H17" s="120">
        <f>P17/N17</f>
        <v>2556.4552918002223</v>
      </c>
      <c r="I17" s="178">
        <v>2.3151885063932353E-2</v>
      </c>
      <c r="J17" s="120">
        <v>0.79</v>
      </c>
      <c r="K17" s="117" t="s">
        <v>102</v>
      </c>
      <c r="L17" s="119">
        <f>IF(INDEX('Com Measure Mapping'!U:U,MATCH($C17,'Com Measure Mapping'!B:B,0))="N/A",J17,INDEX('Com Measure Mapping'!U:U,MATCH($C17,'Com Measure Mapping'!B:B,0)))</f>
        <v>3.7987415199283809</v>
      </c>
      <c r="M17" s="119" t="str">
        <f>INDEX('Com Measure Mapping'!V:V,MATCH($C17,'Com Measure Mapping'!B:B,0))</f>
        <v>1 kBtu/hr</v>
      </c>
      <c r="N17" s="120">
        <f>L17</f>
        <v>3.7987415199283809</v>
      </c>
      <c r="O17" s="120">
        <f>H17</f>
        <v>2556.4552918002223</v>
      </c>
      <c r="P17" s="120">
        <f>$P$72*I17</f>
        <v>9711.3128608021289</v>
      </c>
      <c r="Q17" s="126">
        <v>6.06</v>
      </c>
      <c r="R17" s="131">
        <f>IF(INDEX('Com Measure Mapping'!W:W,MATCH($C17,'Com Measure Mapping'!B:B,0))="N/A",Q17,INDEX('Com Measure Mapping'!W:W,MATCH($C17,'Com Measure Mapping'!B:B,0)))</f>
        <v>2.6193750000000007</v>
      </c>
      <c r="S17" s="126">
        <f>R17</f>
        <v>2.6193750000000007</v>
      </c>
      <c r="T17" s="126">
        <f>IFERROR(IF($D$2="Original",O17*Q17,O17*S17),0)</f>
        <v>6696.3150799592095</v>
      </c>
      <c r="U17" s="126">
        <v>0</v>
      </c>
      <c r="V17" s="126">
        <f>IFERROR(IF($D$2="Original",PV($F$76,$X17,(-0.05*0.9*$J17)),PV($F$76,$Z17,(-0.05*0.9*$N17))),0)</f>
        <v>1.4288612662904059</v>
      </c>
      <c r="W17" s="126">
        <f>IFERROR(IF($D$2="Original",MAX(0,O17*(Q17-U17-V17)),MAX(0,O17*(S17-U17-V17))),0)</f>
        <v>3043.4951345027343</v>
      </c>
      <c r="X17" s="117">
        <v>15</v>
      </c>
      <c r="Y17" s="128">
        <f>IF(INDEX('Com Measure Mapping'!X:X,MATCH($C17,'Com Measure Mapping'!B:B,0))="N/A",X17,INDEX('Com Measure Mapping'!X:X,MATCH($C17,'Com Measure Mapping'!B:B,0)))</f>
        <v>10</v>
      </c>
      <c r="Z17" s="120">
        <f>Y17</f>
        <v>10</v>
      </c>
      <c r="AA17" s="120">
        <f>IFERROR(IF($D$2="Original",PV($F$76,X17,-P17),PV($F$76,Z17,-P17)),0)</f>
        <v>81173.776565699431</v>
      </c>
      <c r="AB17" s="126">
        <f>I17*$AB$72</f>
        <v>33098.467380754162</v>
      </c>
      <c r="AC17" s="126">
        <v>2.5</v>
      </c>
      <c r="AD17" s="131">
        <f>IF(INDEX('Com Measure Mapping'!Y:Y,MATCH($C17,'Com Measure Mapping'!B:B,0))="N/A",AC17,INDEX('Com Measure Mapping'!Y:Y,MATCH($C17,'Com Measure Mapping'!B:B,0)))</f>
        <v>1.121071487285781</v>
      </c>
      <c r="AE17" s="119" t="str">
        <f>INDEX('Com Measure Mapping'!V:V,MATCH($C17,'Com Measure Mapping'!B:B,0))</f>
        <v>1 kBtu/hr</v>
      </c>
      <c r="AF17" s="126">
        <f>AC17</f>
        <v>2.5</v>
      </c>
      <c r="AG17" s="126">
        <f>IFERROR(IF($D$2="Original",H17*AC17,H17*AF17),0)</f>
        <v>6391.138229500556</v>
      </c>
      <c r="AH17" s="133">
        <f>IF(ISERROR(AG17/AA17),0,AG17/AA17)</f>
        <v>7.8734025936661636E-2</v>
      </c>
      <c r="AI17" s="133">
        <f>IF(AA17=0,0,(AG17+AB17)/AA17)</f>
        <v>0.48648230107038454</v>
      </c>
      <c r="AJ17" s="122">
        <f>IFERROR(IF($D$2="Original",IF($AG17=0,"-",(VLOOKUP($X17,AC,7)*$P17)/($AG17+$AB17)),IF($AG17=0,"-",(VLOOKUP($Z17,AC,7)*$P17)/($AG17+$AB17))),0)</f>
        <v>2.4023605779349948</v>
      </c>
      <c r="AK17" s="76"/>
      <c r="AL17" s="133">
        <f>IF(ISERROR(W17/AA17),0,W17/AA17)</f>
        <v>3.7493575675137253E-2</v>
      </c>
      <c r="AM17" s="133">
        <f>IF(AA17=0,0,(W17+AB17)/AA17)</f>
        <v>0.4452418508088602</v>
      </c>
      <c r="AN17" s="122">
        <f>IFERROR(IF($D$2="Original",IF($W17=0,"-",(VLOOKUP($X17,AC,5)*$P17)/(W17+AB17)),IF($W17=0,"-",(VLOOKUP($Z17,AC,5)*$P17)/(W17+AB17))),0)</f>
        <v>2.386253468620859</v>
      </c>
    </row>
    <row r="18" spans="1:40" s="3" customFormat="1" ht="26.25" thickBot="1" x14ac:dyDescent="0.25">
      <c r="B18" s="3">
        <v>11</v>
      </c>
      <c r="C18" s="104" t="str">
        <f>E18&amp;"_"&amp;F18&amp;"_"&amp;G18</f>
        <v>Double Rack Oven_FSTC Qualified_&gt;=50% Cooking Efficiency, &lt;=35,000 Btu/hr Idle Rate</v>
      </c>
      <c r="D18" s="1"/>
      <c r="E18" s="113" t="s">
        <v>48</v>
      </c>
      <c r="F18" s="113" t="s">
        <v>89</v>
      </c>
      <c r="G18" s="113" t="s">
        <v>90</v>
      </c>
      <c r="H18" s="118">
        <f>P18/N18</f>
        <v>0.34439939864285174</v>
      </c>
      <c r="I18" s="177">
        <v>1.508743699367528E-3</v>
      </c>
      <c r="J18" s="118">
        <v>1806</v>
      </c>
      <c r="K18" s="116" t="s">
        <v>47</v>
      </c>
      <c r="L18" s="147">
        <f>IF(INDEX('Com Measure Mapping'!U:U,MATCH($C18,'Com Measure Mapping'!B:B,0))="N/A",J18,INDEX('Com Measure Mapping'!U:U,MATCH($C18,'Com Measure Mapping'!B:B,0)))</f>
        <v>1837.5733040599432</v>
      </c>
      <c r="M18" s="147" t="str">
        <f>INDEX('Com Measure Mapping'!V:V,MATCH($C18,'Com Measure Mapping'!B:B,0))</f>
        <v>1 unit</v>
      </c>
      <c r="N18" s="118">
        <f>L18</f>
        <v>1837.5733040599432</v>
      </c>
      <c r="O18" s="118">
        <f>H18</f>
        <v>0.34439939864285174</v>
      </c>
      <c r="P18" s="118">
        <f>$P$72*I18</f>
        <v>632.85914088040261</v>
      </c>
      <c r="Q18" s="125">
        <v>6200</v>
      </c>
      <c r="R18" s="145">
        <f>IF(INDEX('Com Measure Mapping'!W:W,MATCH($C18,'Com Measure Mapping'!B:B,0))="N/A",Q18,INDEX('Com Measure Mapping'!W:W,MATCH($C18,'Com Measure Mapping'!B:B,0)))</f>
        <v>4287.4399999999996</v>
      </c>
      <c r="S18" s="125">
        <f>R18</f>
        <v>4287.4399999999996</v>
      </c>
      <c r="T18" s="125">
        <f>IFERROR(IF($D$2="Original",O18*Q18,O18*S18),0)</f>
        <v>1476.5917577173082</v>
      </c>
      <c r="U18" s="125">
        <v>0</v>
      </c>
      <c r="V18" s="125">
        <f>IFERROR(IF($D$2="Original",PV($F$76,$X18,(-0.05*0.9*$J18)),PV($F$76,$Z18,(-0.05*0.9*$N18))),0)</f>
        <v>803.79213117772849</v>
      </c>
      <c r="W18" s="125">
        <f>IFERROR(IF($D$2="Original",MAX(0,O18*(Q18-U18-V18)),MAX(0,O18*(S18-U18-V18))),0)</f>
        <v>1199.7662311058423</v>
      </c>
      <c r="X18" s="116">
        <v>12</v>
      </c>
      <c r="Y18" s="146">
        <f>IF(INDEX('Com Measure Mapping'!X:X,MATCH($C18,'Com Measure Mapping'!B:B,0))="N/A",X18,INDEX('Com Measure Mapping'!X:X,MATCH($C18,'Com Measure Mapping'!B:B,0)))</f>
        <v>12</v>
      </c>
      <c r="Z18" s="118">
        <f>Y18</f>
        <v>12</v>
      </c>
      <c r="AA18" s="118">
        <f>IFERROR(IF($D$2="Original",PV($F$76,X18,-P18),PV($F$76,Z18,-P18)),0)</f>
        <v>6151.6783691436867</v>
      </c>
      <c r="AB18" s="125">
        <f>I18*$AB$72</f>
        <v>2156.9346937209034</v>
      </c>
      <c r="AC18" s="125">
        <v>2500</v>
      </c>
      <c r="AD18" s="145">
        <f>IF(INDEX('Com Measure Mapping'!Y:Y,MATCH($C18,'Com Measure Mapping'!B:B,0))="N/A",AC18,INDEX('Com Measure Mapping'!Y:Y,MATCH($C18,'Com Measure Mapping'!B:B,0)))</f>
        <v>1252.0643825691516</v>
      </c>
      <c r="AE18" s="147" t="str">
        <f>INDEX('Com Measure Mapping'!V:V,MATCH($C18,'Com Measure Mapping'!B:B,0))</f>
        <v>1 unit</v>
      </c>
      <c r="AF18" s="125">
        <f>AC18</f>
        <v>2500</v>
      </c>
      <c r="AG18" s="125">
        <f>IFERROR(IF($D$2="Original",H18*AC18,H18*AF18),0)</f>
        <v>860.99849660712937</v>
      </c>
      <c r="AH18" s="132">
        <f>IF(ISERROR(AG18/AA18),0,AG18/AA18)</f>
        <v>0.13996155925931159</v>
      </c>
      <c r="AI18" s="132">
        <f>IF(AA18=0,0,(AG18+AB18)/AA18)</f>
        <v>0.49058696005072983</v>
      </c>
      <c r="AJ18" s="121">
        <f>IFERROR(IF($D$2="Original",IF($AG18=0,"-",(VLOOKUP($X18,AC,7)*$P18)/($AG18+$AB18)),IF($AG18=0,"-",(VLOOKUP($Z18,AC,7)*$P18)/($AG18+$AB18))),0)</f>
        <v>2.4946481048990701</v>
      </c>
      <c r="AK18" s="76"/>
      <c r="AL18" s="132">
        <f>IF(ISERROR(W18/AA18),0,W18/AA18)</f>
        <v>0.19503071505229713</v>
      </c>
      <c r="AM18" s="132">
        <f>IF(AA18=0,0,(W18+AB18)/AA18)</f>
        <v>0.54565611584371543</v>
      </c>
      <c r="AN18" s="121">
        <f>IFERROR(IF($D$2="Original",IF($W18=0,"-",(VLOOKUP($X18,AC,5)*$P18)/(W18+AB18)),IF($W18=0,"-",(VLOOKUP($Z18,AC,5)*$P18)/(W18+AB18))),0)</f>
        <v>2.0389828862457802</v>
      </c>
    </row>
    <row r="19" spans="1:40" s="3" customFormat="1" ht="26.25" thickBot="1" x14ac:dyDescent="0.25">
      <c r="B19" s="3">
        <v>12</v>
      </c>
      <c r="C19" s="104" t="str">
        <f>E19&amp;"_"&amp;F19&amp;"_"&amp;G19</f>
        <v>Energy Saver Kit A_Low Flow Kitchen Pre Rinse Spray Valve and Bath Aerators_PRSV &lt;=1 gpm / Aerators &lt;=.75 gpm</v>
      </c>
      <c r="D19" s="1"/>
      <c r="E19" s="114" t="s">
        <v>72</v>
      </c>
      <c r="F19" s="114" t="s">
        <v>73</v>
      </c>
      <c r="G19" s="114" t="s">
        <v>74</v>
      </c>
      <c r="H19" s="120">
        <f>P19/N19</f>
        <v>142.9918185393995</v>
      </c>
      <c r="I19" s="178">
        <f>8099/266945</f>
        <v>3.0339583060180936E-2</v>
      </c>
      <c r="J19" s="120">
        <v>89</v>
      </c>
      <c r="K19" s="117" t="s">
        <v>75</v>
      </c>
      <c r="L19" s="119" t="s">
        <v>250</v>
      </c>
      <c r="M19" s="119" t="str">
        <f>INDEX('Com Measure Mapping'!V:V,MATCH($C19,'Com Measure Mapping'!B:B,0))</f>
        <v>N/A</v>
      </c>
      <c r="N19" s="120">
        <f>J19</f>
        <v>89</v>
      </c>
      <c r="O19" s="120">
        <f>H19</f>
        <v>142.9918185393995</v>
      </c>
      <c r="P19" s="120">
        <f>$P$72*I19</f>
        <v>12726.271850006557</v>
      </c>
      <c r="Q19" s="126">
        <v>119</v>
      </c>
      <c r="R19" s="131" t="s">
        <v>250</v>
      </c>
      <c r="S19" s="126">
        <f>Q19</f>
        <v>119</v>
      </c>
      <c r="T19" s="126">
        <f>IFERROR(IF($D$2="Original",O19*Q19,O19*S19),0)</f>
        <v>17016.026406188539</v>
      </c>
      <c r="U19" s="126">
        <v>0</v>
      </c>
      <c r="V19" s="126">
        <f>IFERROR(IF($D$2="Original",PV($F$76,$X19,(-0.05*0.9*$J19))+PV($F$76,$X19,-3500/1000*10),PV($F$76,$Z19,(-0.05*0.9*$N19))+PV($F$76,$Z19,-3500/1000*10)),0)</f>
        <v>176.60949297439205</v>
      </c>
      <c r="W19" s="126">
        <f>IFERROR(IF($D$2="Original",MAX(0,O19*(Q19-U19-V19)),MAX(0,O19*(S19-U19-V19))),0)</f>
        <v>0</v>
      </c>
      <c r="X19" s="117">
        <v>5</v>
      </c>
      <c r="Y19" s="128" t="s">
        <v>250</v>
      </c>
      <c r="Z19" s="120">
        <f>X19</f>
        <v>5</v>
      </c>
      <c r="AA19" s="120">
        <f>IFERROR(IF($D$2="Original",PV($F$76,X19,-P19),PV($F$76,Z19,-P19)),0)</f>
        <v>57622.879602203204</v>
      </c>
      <c r="AB19" s="126">
        <f>I19*$AB$72</f>
        <v>43374.165753245048</v>
      </c>
      <c r="AC19" s="126">
        <v>0</v>
      </c>
      <c r="AD19" s="131" t="s">
        <v>250</v>
      </c>
      <c r="AE19" s="119" t="str">
        <f>INDEX('Com Measure Mapping'!V:V,MATCH($C19,'Com Measure Mapping'!B:B,0))</f>
        <v>N/A</v>
      </c>
      <c r="AF19" s="126">
        <f>AC19</f>
        <v>0</v>
      </c>
      <c r="AG19" s="126">
        <f>IFERROR(IF($D$2="Original",H19*AC19,H19*AF19),0)</f>
        <v>0</v>
      </c>
      <c r="AH19" s="133">
        <f>IF(ISERROR(AG19/AA19),0,AG19/AA19)</f>
        <v>0</v>
      </c>
      <c r="AI19" s="133">
        <f>IF(AA19=0,0,(AG19+AB19)/AA19)</f>
        <v>0.75272471720741008</v>
      </c>
      <c r="AJ19" s="122" t="str">
        <f>IFERROR(IF($D$2="Original",IF($AG19=0,"-",(VLOOKUP($X19,AC,7)*$P19)/($AG19+$AB19)),IF($AG19=0,"-",(VLOOKUP($Z19,AC,7)*$P19)/($AG19+$AB19))),0)</f>
        <v>-</v>
      </c>
      <c r="AK19" s="76"/>
      <c r="AL19" s="133">
        <f>IF(ISERROR(W19/AA19),0,W19/AA19)</f>
        <v>0</v>
      </c>
      <c r="AM19" s="133">
        <f>IF(AA19=0,0,(W19+AB19)/AA19)</f>
        <v>0.75272471720741008</v>
      </c>
      <c r="AN19" s="122" t="str">
        <f>IFERROR(IF($D$2="Original",IF($W19=0,"-",(VLOOKUP($X19,AC,5)*$P19)/(W19+AB19)),IF($W19=0,"-",(VLOOKUP($Z19,AC,5)*$P19)/(W19+AB19))),0)</f>
        <v>-</v>
      </c>
    </row>
    <row r="20" spans="1:40" s="3" customFormat="1" ht="26.25" thickBot="1" x14ac:dyDescent="0.25">
      <c r="B20" s="163" t="s">
        <v>398</v>
      </c>
      <c r="C20" s="104" t="str">
        <f>E20&amp;"_"&amp;F20&amp;"_"&amp;G20</f>
        <v>Energy Saver Kit A - 30 therms_Low Flow Kitchen Pre Rinse Spray Valve and Bath Aerators_PRSV &lt;=1 gpm / Aerators &lt;=.75 gpm</v>
      </c>
      <c r="D20" s="1"/>
      <c r="E20" s="113" t="s">
        <v>169</v>
      </c>
      <c r="F20" s="113" t="s">
        <v>73</v>
      </c>
      <c r="G20" s="113" t="s">
        <v>74</v>
      </c>
      <c r="H20" s="118">
        <f>P20/N20</f>
        <v>0</v>
      </c>
      <c r="I20" s="177">
        <v>0</v>
      </c>
      <c r="J20" s="118">
        <v>30</v>
      </c>
      <c r="K20" s="116" t="s">
        <v>75</v>
      </c>
      <c r="L20" s="147" t="s">
        <v>250</v>
      </c>
      <c r="M20" s="147" t="str">
        <f>INDEX('Com Measure Mapping'!V:V,MATCH($C20,'Com Measure Mapping'!B:B,0))</f>
        <v>N/A</v>
      </c>
      <c r="N20" s="118">
        <f>J20</f>
        <v>30</v>
      </c>
      <c r="O20" s="118">
        <f>H20</f>
        <v>0</v>
      </c>
      <c r="P20" s="118">
        <f>$P$72*I20</f>
        <v>0</v>
      </c>
      <c r="Q20" s="125">
        <v>119</v>
      </c>
      <c r="R20" s="145" t="s">
        <v>250</v>
      </c>
      <c r="S20" s="125">
        <f>Q20</f>
        <v>119</v>
      </c>
      <c r="T20" s="125">
        <f>IFERROR(IF($D$2="Original",O20*Q20,O20*S20),0)</f>
        <v>0</v>
      </c>
      <c r="U20" s="125">
        <v>0</v>
      </c>
      <c r="V20" s="125">
        <f>IFERROR(IF($D$2="Original",PV($F$76,$X20,(-0.05*0.9*$J20))+PV($F$76,$X20,-1180/1000*10),PV($F$76,$Z20,(-0.05*0.9*$N20))+PV($F$76,$Z20,-1180/1000*10)),0)</f>
        <v>59.541464751012818</v>
      </c>
      <c r="W20" s="125">
        <f>IFERROR(IF($D$2="Original",MAX(0,O20*(Q20-U20-V20)),MAX(0,O20*(S20-U20-V20))),0)</f>
        <v>0</v>
      </c>
      <c r="X20" s="116">
        <v>5</v>
      </c>
      <c r="Y20" s="146" t="s">
        <v>250</v>
      </c>
      <c r="Z20" s="118">
        <f>X20</f>
        <v>5</v>
      </c>
      <c r="AA20" s="118">
        <f>IFERROR(IF($D$2="Original",PV($F$76,X20,-P20),PV($F$76,Z20,-P20)),0)</f>
        <v>0</v>
      </c>
      <c r="AB20" s="125">
        <f>I20*$AB$72</f>
        <v>0</v>
      </c>
      <c r="AC20" s="125">
        <v>0</v>
      </c>
      <c r="AD20" s="145" t="s">
        <v>250</v>
      </c>
      <c r="AE20" s="147" t="str">
        <f>INDEX('Com Measure Mapping'!V:V,MATCH($C20,'Com Measure Mapping'!B:B,0))</f>
        <v>N/A</v>
      </c>
      <c r="AF20" s="125">
        <f>AC20</f>
        <v>0</v>
      </c>
      <c r="AG20" s="125">
        <f>IFERROR(IF($D$2="Original",H20*AC20,H20*AF20),0)</f>
        <v>0</v>
      </c>
      <c r="AH20" s="132">
        <f>IF(ISERROR(AG20/AA20),0,AG20/AA20)</f>
        <v>0</v>
      </c>
      <c r="AI20" s="132">
        <f>IF(AA20=0,0,(AG20+AB20)/AA20)</f>
        <v>0</v>
      </c>
      <c r="AJ20" s="121" t="str">
        <f>IFERROR(IF($D$2="Original",IF($AG20=0,"-",(VLOOKUP($X20,AC,7)*$P20)/($AG20+$AB20)),IF($AG20=0,"-",(VLOOKUP($Z20,AC,7)*$P20)/($AG20+$AB20))),0)</f>
        <v>-</v>
      </c>
      <c r="AK20" s="76"/>
      <c r="AL20" s="132">
        <f>IF(ISERROR(W20/AA20),0,W20/AA20)</f>
        <v>0</v>
      </c>
      <c r="AM20" s="132">
        <f>IF(AA20=0,0,(W20+AB20)/AA20)</f>
        <v>0</v>
      </c>
      <c r="AN20" s="121" t="str">
        <f>IFERROR(IF($D$2="Original",IF($W20=0,"-",(VLOOKUP($X20,AC,5)*$P20)/(W20+AB20)),IF($W20=0,"-",(VLOOKUP($Z20,AC,5)*$P20)/(W20+AB20))),0)</f>
        <v>-</v>
      </c>
    </row>
    <row r="21" spans="1:40" s="3" customFormat="1" ht="26.25" thickBot="1" x14ac:dyDescent="0.25">
      <c r="B21" s="163" t="s">
        <v>399</v>
      </c>
      <c r="C21" s="104" t="str">
        <f>E21&amp;"_"&amp;F21&amp;"_"&amp;G21</f>
        <v>Energy Saver Kit A - 59 therms_Low Flow Kitchen Pre Rinse Spray Valve and Bath Aerators_PRSV &lt;=1 gpm / Aerators &lt;=.75 gpm</v>
      </c>
      <c r="D21" s="1"/>
      <c r="E21" s="114" t="s">
        <v>170</v>
      </c>
      <c r="F21" s="114" t="s">
        <v>73</v>
      </c>
      <c r="G21" s="114" t="s">
        <v>74</v>
      </c>
      <c r="H21" s="120">
        <f>P21/N21</f>
        <v>0</v>
      </c>
      <c r="I21" s="178">
        <v>0</v>
      </c>
      <c r="J21" s="120">
        <v>59</v>
      </c>
      <c r="K21" s="117" t="s">
        <v>75</v>
      </c>
      <c r="L21" s="119" t="s">
        <v>250</v>
      </c>
      <c r="M21" s="119" t="str">
        <f>INDEX('Com Measure Mapping'!V:V,MATCH($C21,'Com Measure Mapping'!B:B,0))</f>
        <v>N/A</v>
      </c>
      <c r="N21" s="120">
        <f>J21</f>
        <v>59</v>
      </c>
      <c r="O21" s="120">
        <f>H21</f>
        <v>0</v>
      </c>
      <c r="P21" s="120">
        <f>$P$72*I21</f>
        <v>0</v>
      </c>
      <c r="Q21" s="126">
        <v>119</v>
      </c>
      <c r="R21" s="131" t="s">
        <v>250</v>
      </c>
      <c r="S21" s="126">
        <f>Q21</f>
        <v>119</v>
      </c>
      <c r="T21" s="126">
        <f>IFERROR(IF($D$2="Original",O21*Q21,O21*S21),0)</f>
        <v>0</v>
      </c>
      <c r="U21" s="126">
        <v>0</v>
      </c>
      <c r="V21" s="126">
        <f>IFERROR(IF($D$2="Original",PV($F$76,$X21,(-0.05*0.9*$J21))+PV($F$76,$X21,-2300/1000*10),PV($F$76,$Z21,(-0.05*0.9*$N21))+PV($F$76,$Z21,-2300/1000*10)),0)</f>
        <v>116.16245461499879</v>
      </c>
      <c r="W21" s="126">
        <f>IFERROR(IF($D$2="Original",MAX(0,O21*(Q21-U21-V21)),MAX(0,O21*(S21-U21-V21))),0)</f>
        <v>0</v>
      </c>
      <c r="X21" s="117">
        <v>5</v>
      </c>
      <c r="Y21" s="128" t="s">
        <v>250</v>
      </c>
      <c r="Z21" s="120">
        <f>X21</f>
        <v>5</v>
      </c>
      <c r="AA21" s="120">
        <f>IFERROR(IF($D$2="Original",PV($F$76,X21,-P21),PV($F$76,Z21,-P21)),0)</f>
        <v>0</v>
      </c>
      <c r="AB21" s="126">
        <f>I21*$AB$72</f>
        <v>0</v>
      </c>
      <c r="AC21" s="126">
        <v>0</v>
      </c>
      <c r="AD21" s="131" t="s">
        <v>250</v>
      </c>
      <c r="AE21" s="119" t="str">
        <f>INDEX('Com Measure Mapping'!V:V,MATCH($C21,'Com Measure Mapping'!B:B,0))</f>
        <v>N/A</v>
      </c>
      <c r="AF21" s="126">
        <f>AC21</f>
        <v>0</v>
      </c>
      <c r="AG21" s="126">
        <f>IFERROR(IF($D$2="Original",H21*AC21,H21*AF21),0)</f>
        <v>0</v>
      </c>
      <c r="AH21" s="133">
        <f>IF(ISERROR(AG21/AA21),0,AG21/AA21)</f>
        <v>0</v>
      </c>
      <c r="AI21" s="133">
        <f>IF(AA21=0,0,(AG21+AB21)/AA21)</f>
        <v>0</v>
      </c>
      <c r="AJ21" s="122" t="str">
        <f>IFERROR(IF($D$2="Original",IF($AG21=0,"-",(VLOOKUP($X21,AC,7)*$P21)/($AG21+$AB21)),IF($AG21=0,"-",(VLOOKUP($Z21,AC,7)*$P21)/($AG21+$AB21))),0)</f>
        <v>-</v>
      </c>
      <c r="AK21" s="76"/>
      <c r="AL21" s="133">
        <f>IF(ISERROR(W21/AA21),0,W21/AA21)</f>
        <v>0</v>
      </c>
      <c r="AM21" s="133">
        <f>IF(AA21=0,0,(W21+AB21)/AA21)</f>
        <v>0</v>
      </c>
      <c r="AN21" s="122" t="str">
        <f>IFERROR(IF($D$2="Original",IF($W21=0,"-",(VLOOKUP($X21,AC,5)*$P21)/(W21+AB21)),IF($W21=0,"-",(VLOOKUP($Z21,AC,5)*$P21)/(W21+AB21))),0)</f>
        <v>-</v>
      </c>
    </row>
    <row r="22" spans="1:40" s="3" customFormat="1" ht="13.5" thickBot="1" x14ac:dyDescent="0.25">
      <c r="B22" s="163" t="s">
        <v>400</v>
      </c>
      <c r="C22" s="104" t="str">
        <f>E22&amp;"_"&amp;F22&amp;"_"&amp;G22</f>
        <v>Energy Saver Kit B_Low Flow Showerheads_Showerhead &lt;= 1.85 gpm</v>
      </c>
      <c r="D22" s="1"/>
      <c r="E22" s="113" t="s">
        <v>79</v>
      </c>
      <c r="F22" s="113" t="s">
        <v>80</v>
      </c>
      <c r="G22" s="113" t="s">
        <v>81</v>
      </c>
      <c r="H22" s="118">
        <f>P22/N22</f>
        <v>0</v>
      </c>
      <c r="I22" s="177">
        <v>0</v>
      </c>
      <c r="J22" s="118">
        <v>35</v>
      </c>
      <c r="K22" s="116" t="s">
        <v>75</v>
      </c>
      <c r="L22" s="147" t="s">
        <v>250</v>
      </c>
      <c r="M22" s="147" t="str">
        <f>INDEX('Com Measure Mapping'!V:V,MATCH($C22,'Com Measure Mapping'!B:B,0))</f>
        <v>N/A</v>
      </c>
      <c r="N22" s="118">
        <f>J22</f>
        <v>35</v>
      </c>
      <c r="O22" s="118">
        <f>H22</f>
        <v>0</v>
      </c>
      <c r="P22" s="118">
        <f>$P$72*I22</f>
        <v>0</v>
      </c>
      <c r="Q22" s="125">
        <v>44</v>
      </c>
      <c r="R22" s="145" t="s">
        <v>250</v>
      </c>
      <c r="S22" s="125">
        <f>Q22</f>
        <v>44</v>
      </c>
      <c r="T22" s="125">
        <f>IFERROR(IF($D$2="Original",O22*Q22,O22*S22),0)</f>
        <v>0</v>
      </c>
      <c r="U22" s="125">
        <v>0</v>
      </c>
      <c r="V22" s="125">
        <f>IFERROR(IF($D$2="Original",PV($F$76,$X22,(-0.05*0.9*$J22))+PV($F$76,$X22,-900/1000*10),PV($F$76,$Z22,(-0.05*0.9*$N22))+PV($F$76,$Z22,-900/1000*10)),0)</f>
        <v>88.393062759525691</v>
      </c>
      <c r="W22" s="125">
        <f>IFERROR(IF($D$2="Original",MAX(0,O22*(Q22-U22-V22)),MAX(0,O22*(S22-U22-V22))),0)</f>
        <v>0</v>
      </c>
      <c r="X22" s="116">
        <v>10</v>
      </c>
      <c r="Y22" s="146" t="s">
        <v>250</v>
      </c>
      <c r="Z22" s="118">
        <f>X22</f>
        <v>10</v>
      </c>
      <c r="AA22" s="118">
        <f>IFERROR(IF($D$2="Original",PV($F$76,X22,-P22),PV($F$76,Z22,-P22)),0)</f>
        <v>0</v>
      </c>
      <c r="AB22" s="125">
        <f>I22*$AB$72</f>
        <v>0</v>
      </c>
      <c r="AC22" s="125">
        <v>0</v>
      </c>
      <c r="AD22" s="145" t="s">
        <v>250</v>
      </c>
      <c r="AE22" s="147" t="str">
        <f>INDEX('Com Measure Mapping'!V:V,MATCH($C22,'Com Measure Mapping'!B:B,0))</f>
        <v>N/A</v>
      </c>
      <c r="AF22" s="125">
        <f>AC22</f>
        <v>0</v>
      </c>
      <c r="AG22" s="125">
        <f>IFERROR(IF($D$2="Original",H22*AC22,H22*AF22),0)</f>
        <v>0</v>
      </c>
      <c r="AH22" s="132">
        <f>IF(ISERROR(AG22/AA22),0,AG22/AA22)</f>
        <v>0</v>
      </c>
      <c r="AI22" s="132">
        <f>IF(AA22=0,0,(AG22+AB22)/AA22)</f>
        <v>0</v>
      </c>
      <c r="AJ22" s="121" t="str">
        <f>IFERROR(IF($D$2="Original",IF($AG22=0,"-",(VLOOKUP($X22,AC,7)*$P22)/($AG22+$AB22)),IF($AG22=0,"-",(VLOOKUP($Z22,AC,7)*$P22)/($AG22+$AB22))),0)</f>
        <v>-</v>
      </c>
      <c r="AK22" s="76"/>
      <c r="AL22" s="132">
        <f>IF(ISERROR(W22/AA22),0,W22/AA22)</f>
        <v>0</v>
      </c>
      <c r="AM22" s="132">
        <f>IF(AA22=0,0,(W22+AB22)/AA22)</f>
        <v>0</v>
      </c>
      <c r="AN22" s="121" t="str">
        <f>IFERROR(IF($D$2="Original",IF($W22=0,"-",(VLOOKUP($X22,AC,5)*$P22)/(W22+AB22)),IF($W22=0,"-",(VLOOKUP($Z22,AC,5)*$P22)/(W22+AB22))),0)</f>
        <v>-</v>
      </c>
    </row>
    <row r="23" spans="1:40" s="3" customFormat="1" ht="13.5" thickBot="1" x14ac:dyDescent="0.25">
      <c r="B23" s="3">
        <v>16</v>
      </c>
      <c r="C23" s="104" t="str">
        <f>E23&amp;"_"&amp;F23&amp;"_"&amp;G23</f>
        <v>Fryer (Grocery)_Energy Star_&gt;=50% Cooking Efficiency</v>
      </c>
      <c r="D23" s="1"/>
      <c r="E23" s="114" t="s">
        <v>138</v>
      </c>
      <c r="F23" s="114" t="s">
        <v>15</v>
      </c>
      <c r="G23" s="114" t="s">
        <v>98</v>
      </c>
      <c r="H23" s="120">
        <v>0</v>
      </c>
      <c r="I23" s="178">
        <v>0</v>
      </c>
      <c r="J23" s="120">
        <v>388</v>
      </c>
      <c r="K23" s="117" t="s">
        <v>99</v>
      </c>
      <c r="L23" s="119">
        <f>IF(INDEX('Com Measure Mapping'!U:U,MATCH($C23,'Com Measure Mapping'!B:B,0))="N/A",J23,INDEX('Com Measure Mapping'!U:U,MATCH($C23,'Com Measure Mapping'!B:B,0)))</f>
        <v>417.20195761174483</v>
      </c>
      <c r="M23" s="119" t="str">
        <f>INDEX('Com Measure Mapping'!V:V,MATCH($C23,'Com Measure Mapping'!B:B,0))</f>
        <v>1 unit</v>
      </c>
      <c r="N23" s="120">
        <v>0</v>
      </c>
      <c r="O23" s="120">
        <f>H23</f>
        <v>0</v>
      </c>
      <c r="P23" s="120">
        <f>$P$72*I23</f>
        <v>0</v>
      </c>
      <c r="Q23" s="126">
        <v>1400</v>
      </c>
      <c r="R23" s="131">
        <f>IF(INDEX('Com Measure Mapping'!W:W,MATCH($C23,'Com Measure Mapping'!B:B,0))="N/A",Q23,INDEX('Com Measure Mapping'!W:W,MATCH($C23,'Com Measure Mapping'!B:B,0)))</f>
        <v>902.15</v>
      </c>
      <c r="S23" s="126">
        <v>0</v>
      </c>
      <c r="T23" s="126">
        <f>IFERROR(IF($D$2="Original",O23*Q23,O23*S23),0)</f>
        <v>0</v>
      </c>
      <c r="U23" s="126">
        <v>0</v>
      </c>
      <c r="V23" s="126">
        <f>IFERROR(IF($D$2="Original",PV($F$76,$X23,(-0.05*0.9*$J23)),PV($F$76,$Z23,(-0.05*0.9*$N23))),0)</f>
        <v>0</v>
      </c>
      <c r="W23" s="126">
        <f>IFERROR(IF($D$2="Original",MAX(0,O23*(Q23-U23-V23)),MAX(0,O23*(S23-U23-V23))),0)</f>
        <v>0</v>
      </c>
      <c r="X23" s="117">
        <v>12</v>
      </c>
      <c r="Y23" s="128">
        <f>IF(INDEX('Com Measure Mapping'!X:X,MATCH($C23,'Com Measure Mapping'!B:B,0))="N/A",X23,INDEX('Com Measure Mapping'!X:X,MATCH($C23,'Com Measure Mapping'!B:B,0)))</f>
        <v>5.5</v>
      </c>
      <c r="Z23" s="120">
        <v>0</v>
      </c>
      <c r="AA23" s="120">
        <f>IFERROR(IF($D$2="Original",PV($F$76,X23,-P23),PV($F$76,Z23,-P23)),0)</f>
        <v>0</v>
      </c>
      <c r="AB23" s="126">
        <f>I23*$AB$72</f>
        <v>0</v>
      </c>
      <c r="AC23" s="126">
        <v>750</v>
      </c>
      <c r="AD23" s="131">
        <f>IF(INDEX('Com Measure Mapping'!Y:Y,MATCH($C23,'Com Measure Mapping'!B:B,0))="N/A",AC23,INDEX('Com Measure Mapping'!Y:Y,MATCH($C23,'Com Measure Mapping'!B:B,0)))</f>
        <v>563.84362499999997</v>
      </c>
      <c r="AE23" s="119" t="str">
        <f>INDEX('Com Measure Mapping'!V:V,MATCH($C23,'Com Measure Mapping'!B:B,0))</f>
        <v>1 unit</v>
      </c>
      <c r="AF23" s="126">
        <v>0</v>
      </c>
      <c r="AG23" s="126">
        <f>IFERROR(IF($D$2="Original",H23*AC23,H23*AF23),0)</f>
        <v>0</v>
      </c>
      <c r="AH23" s="133">
        <f>IF(ISERROR(AG23/AA23),0,AG23/AA23)</f>
        <v>0</v>
      </c>
      <c r="AI23" s="133">
        <f>IF(AA23=0,0,(AG23+AB23)/AA23)</f>
        <v>0</v>
      </c>
      <c r="AJ23" s="122" t="str">
        <f>IFERROR(IF($D$2="Original",IF($AG23=0,"-",(VLOOKUP($X23,AC,7)*$P23)/($AG23+$AB23)),IF($AG23=0,"-",(VLOOKUP($Z23,AC,7)*$P23)/($AG23+$AB23))),0)</f>
        <v>-</v>
      </c>
      <c r="AK23" s="76"/>
      <c r="AL23" s="133">
        <f>IF(ISERROR(W23/AA23),0,W23/AA23)</f>
        <v>0</v>
      </c>
      <c r="AM23" s="133">
        <f>IF(AA23=0,0,(W23+AB23)/AA23)</f>
        <v>0</v>
      </c>
      <c r="AN23" s="122" t="str">
        <f>IFERROR(IF($D$2="Original",IF($W23=0,"-",(VLOOKUP($X23,AC,5)*$P23)/(W23+AB23)),IF($W23=0,"-",(VLOOKUP($Z23,AC,5)*$P23)/(W23+AB23))),0)</f>
        <v>-</v>
      </c>
    </row>
    <row r="24" spans="1:40" s="3" customFormat="1" ht="13.5" thickBot="1" x14ac:dyDescent="0.25">
      <c r="B24" s="3">
        <v>16</v>
      </c>
      <c r="C24" s="104" t="str">
        <f>E24&amp;"_"&amp;F24&amp;"_"&amp;G24</f>
        <v>Fryer (Lodging)_Energy Star_&gt;=50% Cooking Efficiency</v>
      </c>
      <c r="E24" s="113" t="s">
        <v>139</v>
      </c>
      <c r="F24" s="113" t="s">
        <v>15</v>
      </c>
      <c r="G24" s="113" t="s">
        <v>98</v>
      </c>
      <c r="H24" s="118">
        <v>0</v>
      </c>
      <c r="I24" s="177">
        <v>0</v>
      </c>
      <c r="J24" s="118">
        <v>231</v>
      </c>
      <c r="K24" s="116" t="s">
        <v>99</v>
      </c>
      <c r="L24" s="147">
        <f>IF(INDEX('Com Measure Mapping'!U:U,MATCH($C24,'Com Measure Mapping'!B:B,0))="N/A",J24,INDEX('Com Measure Mapping'!U:U,MATCH($C24,'Com Measure Mapping'!B:B,0)))</f>
        <v>417.20195761174477</v>
      </c>
      <c r="M24" s="147" t="str">
        <f>INDEX('Com Measure Mapping'!V:V,MATCH($C24,'Com Measure Mapping'!B:B,0))</f>
        <v>1 unit</v>
      </c>
      <c r="N24" s="118">
        <v>0</v>
      </c>
      <c r="O24" s="118">
        <f>H24</f>
        <v>0</v>
      </c>
      <c r="P24" s="118">
        <f>$P$72*I24</f>
        <v>0</v>
      </c>
      <c r="Q24" s="125">
        <v>1400</v>
      </c>
      <c r="R24" s="145">
        <f>IF(INDEX('Com Measure Mapping'!W:W,MATCH($C24,'Com Measure Mapping'!B:B,0))="N/A",Q24,INDEX('Com Measure Mapping'!W:W,MATCH($C24,'Com Measure Mapping'!B:B,0)))</f>
        <v>902.15</v>
      </c>
      <c r="S24" s="125">
        <v>0</v>
      </c>
      <c r="T24" s="125">
        <f>IFERROR(IF($D$2="Original",O24*Q24,O24*S24),0)</f>
        <v>0</v>
      </c>
      <c r="U24" s="125">
        <v>0</v>
      </c>
      <c r="V24" s="125">
        <f>IFERROR(IF($D$2="Original",PV($F$76,$X24,(-0.05*0.9*$J24)),PV($F$76,$Z24,(-0.05*0.9*$N24))),0)</f>
        <v>0</v>
      </c>
      <c r="W24" s="125">
        <f>IFERROR(IF($D$2="Original",MAX(0,O24*(Q24-U24-V24)),MAX(0,O24*(S24-U24-V24))),0)</f>
        <v>0</v>
      </c>
      <c r="X24" s="116">
        <v>12</v>
      </c>
      <c r="Y24" s="146">
        <f>IF(INDEX('Com Measure Mapping'!X:X,MATCH($C24,'Com Measure Mapping'!B:B,0))="N/A",X24,INDEX('Com Measure Mapping'!X:X,MATCH($C24,'Com Measure Mapping'!B:B,0)))</f>
        <v>5.5</v>
      </c>
      <c r="Z24" s="118">
        <v>0</v>
      </c>
      <c r="AA24" s="118">
        <f>IFERROR(IF($D$2="Original",PV($F$76,X24,-P24),PV($F$76,Z24,-P24)),0)</f>
        <v>0</v>
      </c>
      <c r="AB24" s="125">
        <f>I24*$AB$72</f>
        <v>0</v>
      </c>
      <c r="AC24" s="125">
        <v>750</v>
      </c>
      <c r="AD24" s="145">
        <f>IF(INDEX('Com Measure Mapping'!Y:Y,MATCH($C24,'Com Measure Mapping'!B:B,0))="N/A",AC24,INDEX('Com Measure Mapping'!Y:Y,MATCH($C24,'Com Measure Mapping'!B:B,0)))</f>
        <v>563.84362499999997</v>
      </c>
      <c r="AE24" s="147" t="str">
        <f>INDEX('Com Measure Mapping'!V:V,MATCH($C24,'Com Measure Mapping'!B:B,0))</f>
        <v>1 unit</v>
      </c>
      <c r="AF24" s="125">
        <v>0</v>
      </c>
      <c r="AG24" s="125">
        <f>IFERROR(IF($D$2="Original",H24*AC24,H24*AF24),0)</f>
        <v>0</v>
      </c>
      <c r="AH24" s="132">
        <f>IF(ISERROR(AG24/AA24),0,AG24/AA24)</f>
        <v>0</v>
      </c>
      <c r="AI24" s="132">
        <f>IF(AA24=0,0,(AG24+AB24)/AA24)</f>
        <v>0</v>
      </c>
      <c r="AJ24" s="121" t="str">
        <f>IFERROR(IF($D$2="Original",IF($AG24=0,"-",(VLOOKUP($X24,AC,7)*$P24)/($AG24+$AB24)),IF($AG24=0,"-",(VLOOKUP($Z24,AC,7)*$P24)/($AG24+$AB24))),0)</f>
        <v>-</v>
      </c>
      <c r="AK24" s="76"/>
      <c r="AL24" s="132">
        <f>IF(ISERROR(W24/AA24),0,W24/AA24)</f>
        <v>0</v>
      </c>
      <c r="AM24" s="132">
        <f>IF(AA24=0,0,(W24+AB24)/AA24)</f>
        <v>0</v>
      </c>
      <c r="AN24" s="121" t="str">
        <f>IFERROR(IF($D$2="Original",IF($W24=0,"-",(VLOOKUP($X24,AC,5)*$P24)/(W24+AB24)),IF($W24=0,"-",(VLOOKUP($Z24,AC,5)*$P24)/(W24+AB24))),0)</f>
        <v>-</v>
      </c>
    </row>
    <row r="25" spans="1:40" s="3" customFormat="1" ht="13.5" thickBot="1" x14ac:dyDescent="0.25">
      <c r="B25" s="3">
        <v>16</v>
      </c>
      <c r="C25" s="104" t="str">
        <f>E25&amp;"_"&amp;F25&amp;"_"&amp;G25</f>
        <v>Fryer (Restaurant)_Energy Star_&gt;=50% Cooking Efficiency</v>
      </c>
      <c r="D25" s="1"/>
      <c r="E25" s="114" t="s">
        <v>97</v>
      </c>
      <c r="F25" s="114" t="s">
        <v>15</v>
      </c>
      <c r="G25" s="114" t="s">
        <v>98</v>
      </c>
      <c r="H25" s="120">
        <v>0</v>
      </c>
      <c r="I25" s="178">
        <v>0</v>
      </c>
      <c r="J25" s="120">
        <v>685</v>
      </c>
      <c r="K25" s="117" t="s">
        <v>99</v>
      </c>
      <c r="L25" s="119">
        <f>IF(INDEX('Com Measure Mapping'!U:U,MATCH($C25,'Com Measure Mapping'!B:B,0))="N/A",J25,INDEX('Com Measure Mapping'!U:U,MATCH($C25,'Com Measure Mapping'!B:B,0)))</f>
        <v>417.20195761174477</v>
      </c>
      <c r="M25" s="119" t="str">
        <f>INDEX('Com Measure Mapping'!V:V,MATCH($C25,'Com Measure Mapping'!B:B,0))</f>
        <v>1 unit</v>
      </c>
      <c r="N25" s="120">
        <v>0</v>
      </c>
      <c r="O25" s="120">
        <f>H25</f>
        <v>0</v>
      </c>
      <c r="P25" s="120">
        <f>$P$72*I25</f>
        <v>0</v>
      </c>
      <c r="Q25" s="126">
        <v>1400</v>
      </c>
      <c r="R25" s="131">
        <f>IF(INDEX('Com Measure Mapping'!W:W,MATCH($C25,'Com Measure Mapping'!B:B,0))="N/A",Q25,INDEX('Com Measure Mapping'!W:W,MATCH($C25,'Com Measure Mapping'!B:B,0)))</f>
        <v>902.15</v>
      </c>
      <c r="S25" s="126">
        <v>0</v>
      </c>
      <c r="T25" s="126">
        <f>IFERROR(IF($D$2="Original",O25*Q25,O25*S25),0)</f>
        <v>0</v>
      </c>
      <c r="U25" s="126">
        <v>0</v>
      </c>
      <c r="V25" s="126">
        <f>IFERROR(IF($D$2="Original",PV($F$76,$X25,(-0.05*0.9*$J25)),PV($F$76,$Z25,(-0.05*0.9*$N25))),0)</f>
        <v>0</v>
      </c>
      <c r="W25" s="126">
        <f>IFERROR(IF($D$2="Original",MAX(0,O25*(Q25-U25-V25)),MAX(0,O25*(S25-U25-V25))),0)</f>
        <v>0</v>
      </c>
      <c r="X25" s="117">
        <v>12</v>
      </c>
      <c r="Y25" s="128">
        <f>IF(INDEX('Com Measure Mapping'!X:X,MATCH($C25,'Com Measure Mapping'!B:B,0))="N/A",X25,INDEX('Com Measure Mapping'!X:X,MATCH($C25,'Com Measure Mapping'!B:B,0)))</f>
        <v>5.5</v>
      </c>
      <c r="Z25" s="120">
        <v>0</v>
      </c>
      <c r="AA25" s="120">
        <f>IFERROR(IF($D$2="Original",PV($F$76,X25,-P25),PV($F$76,Z25,-P25)),0)</f>
        <v>0</v>
      </c>
      <c r="AB25" s="126">
        <f>I25*$AB$72</f>
        <v>0</v>
      </c>
      <c r="AC25" s="126">
        <v>750</v>
      </c>
      <c r="AD25" s="131">
        <f>IF(INDEX('Com Measure Mapping'!Y:Y,MATCH($C25,'Com Measure Mapping'!B:B,0))="N/A",AC25,INDEX('Com Measure Mapping'!Y:Y,MATCH($C25,'Com Measure Mapping'!B:B,0)))</f>
        <v>563.84362499999997</v>
      </c>
      <c r="AE25" s="119" t="str">
        <f>INDEX('Com Measure Mapping'!V:V,MATCH($C25,'Com Measure Mapping'!B:B,0))</f>
        <v>1 unit</v>
      </c>
      <c r="AF25" s="126">
        <v>0</v>
      </c>
      <c r="AG25" s="126">
        <f>IFERROR(IF($D$2="Original",H25*AC25,H25*AF25),0)</f>
        <v>0</v>
      </c>
      <c r="AH25" s="133">
        <f>IF(ISERROR(AG25/AA25),0,AG25/AA25)</f>
        <v>0</v>
      </c>
      <c r="AI25" s="133">
        <f>IF(AA25=0,0,(AG25+AB25)/AA25)</f>
        <v>0</v>
      </c>
      <c r="AJ25" s="122" t="str">
        <f>IFERROR(IF($D$2="Original",IF($AG25=0,"-",(VLOOKUP($X25,AC,7)*$P25)/($AG25+$AB25)),IF($AG25=0,"-",(VLOOKUP($Z25,AC,7)*$P25)/($AG25+$AB25))),0)</f>
        <v>-</v>
      </c>
      <c r="AK25" s="76"/>
      <c r="AL25" s="133">
        <f>IF(ISERROR(W25/AA25),0,W25/AA25)</f>
        <v>0</v>
      </c>
      <c r="AM25" s="133">
        <f>IF(AA25=0,0,(W25+AB25)/AA25)</f>
        <v>0</v>
      </c>
      <c r="AN25" s="122" t="str">
        <f>IFERROR(IF($D$2="Original",IF($W25=0,"-",(VLOOKUP($X25,AC,5)*$P25)/(W25+AB25)),IF($W25=0,"-",(VLOOKUP($Z25,AC,5)*$P25)/(W25+AB25))),0)</f>
        <v>-</v>
      </c>
    </row>
    <row r="26" spans="1:40" s="3" customFormat="1" ht="13.5" thickBot="1" x14ac:dyDescent="0.25">
      <c r="B26" s="3">
        <v>16</v>
      </c>
      <c r="C26" s="104" t="str">
        <f>E26&amp;"_"&amp;F26&amp;"_"&amp;G26</f>
        <v>Fryer (School)_Energy Star_&gt;=50% Cooking Efficiency</v>
      </c>
      <c r="D26" s="1"/>
      <c r="E26" s="113" t="s">
        <v>140</v>
      </c>
      <c r="F26" s="113" t="s">
        <v>15</v>
      </c>
      <c r="G26" s="113" t="s">
        <v>98</v>
      </c>
      <c r="H26" s="118">
        <v>0</v>
      </c>
      <c r="I26" s="177">
        <v>0</v>
      </c>
      <c r="J26" s="118">
        <v>149</v>
      </c>
      <c r="K26" s="116" t="s">
        <v>99</v>
      </c>
      <c r="L26" s="147">
        <f>IF(INDEX('Com Measure Mapping'!U:U,MATCH($C26,'Com Measure Mapping'!B:B,0))="N/A",J26,INDEX('Com Measure Mapping'!U:U,MATCH($C26,'Com Measure Mapping'!B:B,0)))</f>
        <v>417.20195761174472</v>
      </c>
      <c r="M26" s="147" t="str">
        <f>INDEX('Com Measure Mapping'!V:V,MATCH($C26,'Com Measure Mapping'!B:B,0))</f>
        <v>1 unit</v>
      </c>
      <c r="N26" s="118">
        <v>0</v>
      </c>
      <c r="O26" s="118">
        <f>H26</f>
        <v>0</v>
      </c>
      <c r="P26" s="118">
        <f>$P$72*I26</f>
        <v>0</v>
      </c>
      <c r="Q26" s="125">
        <v>1400</v>
      </c>
      <c r="R26" s="145">
        <f>IF(INDEX('Com Measure Mapping'!W:W,MATCH($C26,'Com Measure Mapping'!B:B,0))="N/A",Q26,INDEX('Com Measure Mapping'!W:W,MATCH($C26,'Com Measure Mapping'!B:B,0)))</f>
        <v>902.15</v>
      </c>
      <c r="S26" s="125">
        <v>0</v>
      </c>
      <c r="T26" s="125">
        <f>IFERROR(IF($D$2="Original",O26*Q26,O26*S26),0)</f>
        <v>0</v>
      </c>
      <c r="U26" s="125">
        <v>0</v>
      </c>
      <c r="V26" s="125">
        <f>IFERROR(IF($D$2="Original",PV($F$76,$X26,(-0.05*0.9*$J26)),PV($F$76,$Z26,(-0.05*0.9*$N26))),0)</f>
        <v>0</v>
      </c>
      <c r="W26" s="125">
        <f>IFERROR(IF($D$2="Original",MAX(0,O26*(Q26-U26-V26)),MAX(0,O26*(S26-U26-V26))),0)</f>
        <v>0</v>
      </c>
      <c r="X26" s="116">
        <v>12</v>
      </c>
      <c r="Y26" s="146">
        <f>IF(INDEX('Com Measure Mapping'!X:X,MATCH($C26,'Com Measure Mapping'!B:B,0))="N/A",X26,INDEX('Com Measure Mapping'!X:X,MATCH($C26,'Com Measure Mapping'!B:B,0)))</f>
        <v>5.5</v>
      </c>
      <c r="Z26" s="118">
        <v>0</v>
      </c>
      <c r="AA26" s="118">
        <f>IFERROR(IF($D$2="Original",PV($F$76,X26,-P26),PV($F$76,Z26,-P26)),0)</f>
        <v>0</v>
      </c>
      <c r="AB26" s="125">
        <f>I26*$AB$72</f>
        <v>0</v>
      </c>
      <c r="AC26" s="125">
        <v>750</v>
      </c>
      <c r="AD26" s="145">
        <f>IF(INDEX('Com Measure Mapping'!Y:Y,MATCH($C26,'Com Measure Mapping'!B:B,0))="N/A",AC26,INDEX('Com Measure Mapping'!Y:Y,MATCH($C26,'Com Measure Mapping'!B:B,0)))</f>
        <v>563.84362499999997</v>
      </c>
      <c r="AE26" s="147" t="str">
        <f>INDEX('Com Measure Mapping'!V:V,MATCH($C26,'Com Measure Mapping'!B:B,0))</f>
        <v>1 unit</v>
      </c>
      <c r="AF26" s="125">
        <v>0</v>
      </c>
      <c r="AG26" s="125">
        <f>IFERROR(IF($D$2="Original",H26*AC26,H26*AF26),0)</f>
        <v>0</v>
      </c>
      <c r="AH26" s="132">
        <f>IF(ISERROR(AG26/AA26),0,AG26/AA26)</f>
        <v>0</v>
      </c>
      <c r="AI26" s="132">
        <f>IF(AA26=0,0,(AG26+AB26)/AA26)</f>
        <v>0</v>
      </c>
      <c r="AJ26" s="121" t="str">
        <f>IFERROR(IF($D$2="Original",IF($AG26=0,"-",(VLOOKUP($X26,AC,7)*$P26)/($AG26+$AB26)),IF($AG26=0,"-",(VLOOKUP($Z26,AC,7)*$P26)/($AG26+$AB26))),0)</f>
        <v>-</v>
      </c>
      <c r="AK26" s="76"/>
      <c r="AL26" s="132">
        <f>IF(ISERROR(W26/AA26),0,W26/AA26)</f>
        <v>0</v>
      </c>
      <c r="AM26" s="132">
        <f>IF(AA26=0,0,(W26+AB26)/AA26)</f>
        <v>0</v>
      </c>
      <c r="AN26" s="121" t="str">
        <f>IFERROR(IF($D$2="Original",IF($W26=0,"-",(VLOOKUP($X26,AC,5)*$P26)/(W26+AB26)),IF($W26=0,"-",(VLOOKUP($Z26,AC,5)*$P26)/(W26+AB26))),0)</f>
        <v>-</v>
      </c>
    </row>
    <row r="27" spans="1:40" s="3" customFormat="1" ht="26.25" thickBot="1" x14ac:dyDescent="0.25">
      <c r="A27" s="167"/>
      <c r="B27" s="3">
        <v>15</v>
      </c>
      <c r="C27" s="104" t="str">
        <f>E27&amp;"_"&amp;F27&amp;"_"&amp;G27</f>
        <v>Gas Conveyor Oven_FSTC Qualified Gas Fired Conveyor Oven_&gt;=42% Baking Efficiency</v>
      </c>
      <c r="D27" s="1"/>
      <c r="E27" s="114" t="s">
        <v>60</v>
      </c>
      <c r="F27" s="114" t="s">
        <v>103</v>
      </c>
      <c r="G27" s="114" t="s">
        <v>104</v>
      </c>
      <c r="H27" s="120">
        <f>P27/N27</f>
        <v>6.2847780506099893</v>
      </c>
      <c r="I27" s="178">
        <f>2643/266945</f>
        <v>9.9009159190095331E-3</v>
      </c>
      <c r="J27" s="120">
        <v>77</v>
      </c>
      <c r="K27" s="117" t="s">
        <v>86</v>
      </c>
      <c r="L27" s="119">
        <f>IF(INDEX('Com Measure Mapping'!U:U,MATCH($C27,'Com Measure Mapping'!B:B,0))="N/A",J27,INDEX('Com Measure Mapping'!U:U,MATCH($C27,'Com Measure Mapping'!B:B,0)))</f>
        <v>660.81062192809975</v>
      </c>
      <c r="M27" s="119" t="str">
        <f>INDEX('Com Measure Mapping'!V:V,MATCH($C27,'Com Measure Mapping'!B:B,0))</f>
        <v>1 unit</v>
      </c>
      <c r="N27" s="120">
        <f>L27</f>
        <v>660.81062192809975</v>
      </c>
      <c r="O27" s="120">
        <f>H27</f>
        <v>6.2847780506099893</v>
      </c>
      <c r="P27" s="120">
        <f>$P$72*I27</f>
        <v>4153.0480923036575</v>
      </c>
      <c r="Q27" s="126">
        <v>1800</v>
      </c>
      <c r="R27" s="131">
        <f>IF(INDEX('Com Measure Mapping'!W:W,MATCH($C27,'Com Measure Mapping'!B:B,0))="N/A",Q27,INDEX('Com Measure Mapping'!W:W,MATCH($C27,'Com Measure Mapping'!B:B,0)))</f>
        <v>2238.0559090909096</v>
      </c>
      <c r="S27" s="126">
        <f>R27</f>
        <v>2238.0559090909096</v>
      </c>
      <c r="T27" s="126">
        <f>IFERROR(IF($D$2="Original",O27*Q27,O27*S27),0)</f>
        <v>14065.684653492533</v>
      </c>
      <c r="U27" s="126">
        <v>0</v>
      </c>
      <c r="V27" s="126">
        <f>IFERROR(IF($D$2="Original",PV($F$76,$X27,(-0.05*0.9*$J27)),PV($F$76,$Z27,(-0.05*0.9*$N27))),0)</f>
        <v>379.19607589578902</v>
      </c>
      <c r="W27" s="126">
        <f>IFERROR(IF($D$2="Original",MAX(0,O27*(Q27-U27-V27)),MAX(0,O27*(S27-U27-V27))),0)</f>
        <v>11682.52147882524</v>
      </c>
      <c r="X27" s="117">
        <v>16</v>
      </c>
      <c r="Y27" s="128">
        <f>IF(INDEX('Com Measure Mapping'!X:X,MATCH($C27,'Com Measure Mapping'!B:B,0))="N/A",X27,INDEX('Com Measure Mapping'!X:X,MATCH($C27,'Com Measure Mapping'!B:B,0)))</f>
        <v>17</v>
      </c>
      <c r="Z27" s="120">
        <f>Y27</f>
        <v>17</v>
      </c>
      <c r="AA27" s="120">
        <f>IFERROR(IF($D$2="Original",PV($F$76,X27,-P27),PV($F$76,Z27,-P27)),0)</f>
        <v>52959.181659273214</v>
      </c>
      <c r="AB27" s="126">
        <f>I27*$AB$72</f>
        <v>14154.577118882165</v>
      </c>
      <c r="AC27" s="126">
        <v>450</v>
      </c>
      <c r="AD27" s="131">
        <f>IF(INDEX('Com Measure Mapping'!Y:Y,MATCH($C27,'Com Measure Mapping'!B:B,0))="N/A",AC27,INDEX('Com Measure Mapping'!Y:Y,MATCH($C27,'Com Measure Mapping'!B:B,0)))</f>
        <v>577.51970964340524</v>
      </c>
      <c r="AE27" s="119" t="str">
        <f>INDEX('Com Measure Mapping'!V:V,MATCH($C27,'Com Measure Mapping'!B:B,0))</f>
        <v>1 unit</v>
      </c>
      <c r="AF27" s="126">
        <v>700</v>
      </c>
      <c r="AG27" s="126">
        <f>IFERROR(IF($D$2="Original",H27*AC27,H27*AF27),0)</f>
        <v>4399.3446354269927</v>
      </c>
      <c r="AH27" s="133">
        <f>IF(ISERROR(AG27/AA27),0,AG27/AA27)</f>
        <v>8.3070479897732002E-2</v>
      </c>
      <c r="AI27" s="133">
        <f>IF(AA27=0,0,(AG27+AB27)/AA27)</f>
        <v>0.35034381523643399</v>
      </c>
      <c r="AJ27" s="122">
        <f>IFERROR(IF($D$2="Original",IF($AG27=0,"-",(VLOOKUP($X27,AC,7)*$P27)/($AG27+$AB27)),IF($AG27=0,"-",(VLOOKUP($Z27,AC,7)*$P27)/($AG27+$AB27))),0)</f>
        <v>3.9200149942557156</v>
      </c>
      <c r="AK27" s="76"/>
      <c r="AL27" s="133">
        <f>IF(ISERROR(W27/AA27),0,W27/AA27)</f>
        <v>0.22059482629448102</v>
      </c>
      <c r="AM27" s="133">
        <f>IF(AA27=0,0,(W27+AB27)/AA27)</f>
        <v>0.48786816163318303</v>
      </c>
      <c r="AN27" s="122">
        <f>IFERROR(IF($D$2="Original",IF($W27=0,"-",(VLOOKUP($X27,AC,5)*$P27)/(W27+AB27)),IF($W27=0,"-",(VLOOKUP($Z27,AC,5)*$P27)/(W27+AB27))),0)</f>
        <v>2.5590986121297998</v>
      </c>
    </row>
    <row r="28" spans="1:40" s="3" customFormat="1" ht="26.25" thickBot="1" x14ac:dyDescent="0.25">
      <c r="B28" s="3">
        <v>17</v>
      </c>
      <c r="C28" s="104" t="str">
        <f>E28&amp;"_"&amp;F28&amp;"_"&amp;G28</f>
        <v>Griddle (Grocery)_Energy Star_&gt;=38% Cooking Efficiency,&lt;= 2650 Btu/hr-sq ft Idle Rate</v>
      </c>
      <c r="D28" s="1"/>
      <c r="E28" s="113" t="s">
        <v>141</v>
      </c>
      <c r="F28" s="113" t="s">
        <v>15</v>
      </c>
      <c r="G28" s="113" t="s">
        <v>95</v>
      </c>
      <c r="H28" s="118">
        <f>P28/N28</f>
        <v>6.7654999999999994</v>
      </c>
      <c r="I28" s="177">
        <v>2.5000000000000001E-3</v>
      </c>
      <c r="J28" s="118">
        <v>155</v>
      </c>
      <c r="K28" s="116" t="s">
        <v>96</v>
      </c>
      <c r="L28" s="147">
        <f>IF(INDEX('Com Measure Mapping'!U:U,MATCH($C28,'Com Measure Mapping'!B:B,0))="N/A",J28,INDEX('Com Measure Mapping'!U:U,MATCH($C28,'Com Measure Mapping'!B:B,0)))</f>
        <v>159.86217928151621</v>
      </c>
      <c r="M28" s="147" t="str">
        <f>INDEX('Com Measure Mapping'!V:V,MATCH($C28,'Com Measure Mapping'!B:B,0))</f>
        <v>1 unit</v>
      </c>
      <c r="N28" s="118">
        <f>J28</f>
        <v>155</v>
      </c>
      <c r="O28" s="118">
        <f>H28</f>
        <v>6.7654999999999994</v>
      </c>
      <c r="P28" s="118">
        <f>$P$72*I28</f>
        <v>1048.6524999999999</v>
      </c>
      <c r="Q28" s="125">
        <v>1048</v>
      </c>
      <c r="R28" s="145">
        <f>IF(INDEX('Com Measure Mapping'!W:W,MATCH($C28,'Com Measure Mapping'!B:B,0))="N/A",Q28,INDEX('Com Measure Mapping'!W:W,MATCH($C28,'Com Measure Mapping'!B:B,0)))</f>
        <v>391.72</v>
      </c>
      <c r="S28" s="125">
        <f>Q28</f>
        <v>1048</v>
      </c>
      <c r="T28" s="125">
        <f>IFERROR(IF($D$2="Original",O28*Q28,O28*S28),0)</f>
        <v>7090.2439999999997</v>
      </c>
      <c r="U28" s="125">
        <v>0</v>
      </c>
      <c r="V28" s="125">
        <f>IFERROR(IF($D$2="Original",PV($F$76,$X28,(-0.05*0.9*$J28)),PV($F$76,$Z28,(-0.05*0.9*$N28))),0)</f>
        <v>67.800168873417505</v>
      </c>
      <c r="W28" s="125">
        <f>IFERROR(IF($D$2="Original",MAX(0,O28*(Q28-U28-V28)),MAX(0,O28*(S28-U28-V28))),0)</f>
        <v>6631.5419574868929</v>
      </c>
      <c r="X28" s="116">
        <v>12</v>
      </c>
      <c r="Y28" s="146">
        <f>IF(INDEX('Com Measure Mapping'!X:X,MATCH($C28,'Com Measure Mapping'!B:B,0))="N/A",X28,INDEX('Com Measure Mapping'!X:X,MATCH($C28,'Com Measure Mapping'!B:B,0)))</f>
        <v>12</v>
      </c>
      <c r="Z28" s="118">
        <f>Y28</f>
        <v>12</v>
      </c>
      <c r="AA28" s="118">
        <f>IFERROR(IF($D$2="Original",PV($F$76,X28,-P28),PV($F$76,Z28,-P28)),0)</f>
        <v>10193.378722513469</v>
      </c>
      <c r="AB28" s="125">
        <f>I28*$AB$72</f>
        <v>3574.0574999999999</v>
      </c>
      <c r="AC28" s="125">
        <v>500</v>
      </c>
      <c r="AD28" s="145">
        <f>IF(INDEX('Com Measure Mapping'!Y:Y,MATCH($C28,'Com Measure Mapping'!B:B,0))="N/A",AC28,INDEX('Com Measure Mapping'!Y:Y,MATCH($C28,'Com Measure Mapping'!B:B,0)))</f>
        <v>391.72480000000002</v>
      </c>
      <c r="AE28" s="147" t="str">
        <f>INDEX('Com Measure Mapping'!V:V,MATCH($C28,'Com Measure Mapping'!B:B,0))</f>
        <v>1 unit</v>
      </c>
      <c r="AF28" s="125">
        <f>AC28*1.2</f>
        <v>600</v>
      </c>
      <c r="AG28" s="125">
        <f>IFERROR(IF($D$2="Original",H28*AC28,H28*AF28),0)</f>
        <v>4059.2999999999997</v>
      </c>
      <c r="AH28" s="132">
        <f>IF(ISERROR(AG28/AA28),0,AG28/AA28)</f>
        <v>0.39822909660311956</v>
      </c>
      <c r="AI28" s="132">
        <f>IF(AA28=0,0,(AG28+AB28)/AA28)</f>
        <v>0.7488544973945378</v>
      </c>
      <c r="AJ28" s="121">
        <f>IFERROR(IF($D$2="Original",IF($AG28=0,"-",(VLOOKUP($X28,AC,7)*$P28)/($AG28+$AB28)),IF($AG28=0,"-",(VLOOKUP($Z28,AC,7)*$P28)/($AG28+$AB28))),0)</f>
        <v>1.634285210861145</v>
      </c>
      <c r="AK28" s="76"/>
      <c r="AL28" s="132">
        <f>IF(ISERROR(W28/AA28),0,W28/AA28)</f>
        <v>0.65057348873344878</v>
      </c>
      <c r="AM28" s="132">
        <f>IF(AA28=0,0,(W28+AB28)/AA28)</f>
        <v>1.0011988895248669</v>
      </c>
      <c r="AN28" s="121">
        <f>IFERROR(IF($D$2="Original",IF($W28=0,"-",(VLOOKUP($X28,AC,5)*$P28)/(W28+AB28)),IF($W28=0,"-",(VLOOKUP($Z28,AC,5)*$P28)/(W28+AB28))),0)</f>
        <v>1.111251214540073</v>
      </c>
    </row>
    <row r="29" spans="1:40" s="3" customFormat="1" ht="26.25" thickBot="1" x14ac:dyDescent="0.25">
      <c r="B29" s="163" t="s">
        <v>401</v>
      </c>
      <c r="C29" s="104" t="str">
        <f>E29&amp;"_"&amp;F29&amp;"_"&amp;G29</f>
        <v>Griddle (Lodging)_Energy Star_&gt;=38% Cooking Efficiency,&lt;= 2650 Btu/hr-sq ft Idle Rate</v>
      </c>
      <c r="D29" s="1"/>
      <c r="E29" s="114" t="s">
        <v>142</v>
      </c>
      <c r="F29" s="114" t="s">
        <v>15</v>
      </c>
      <c r="G29" s="114" t="s">
        <v>95</v>
      </c>
      <c r="H29" s="120">
        <f>P29/N29</f>
        <v>11.398396739130433</v>
      </c>
      <c r="I29" s="178">
        <v>2.5000000000000001E-3</v>
      </c>
      <c r="J29" s="120">
        <v>92</v>
      </c>
      <c r="K29" s="117" t="s">
        <v>96</v>
      </c>
      <c r="L29" s="119">
        <f>IF(INDEX('Com Measure Mapping'!U:U,MATCH($C29,'Com Measure Mapping'!B:B,0))="N/A",J29,INDEX('Com Measure Mapping'!U:U,MATCH($C29,'Com Measure Mapping'!B:B,0)))</f>
        <v>159.86217928151609</v>
      </c>
      <c r="M29" s="119" t="str">
        <f>INDEX('Com Measure Mapping'!V:V,MATCH($C29,'Com Measure Mapping'!B:B,0))</f>
        <v>1 unit</v>
      </c>
      <c r="N29" s="120">
        <f>J29</f>
        <v>92</v>
      </c>
      <c r="O29" s="120">
        <f>H29</f>
        <v>11.398396739130433</v>
      </c>
      <c r="P29" s="120">
        <f>$P$72*I29</f>
        <v>1048.6524999999999</v>
      </c>
      <c r="Q29" s="126">
        <v>1048</v>
      </c>
      <c r="R29" s="131">
        <f>IF(INDEX('Com Measure Mapping'!W:W,MATCH($C29,'Com Measure Mapping'!B:B,0))="N/A",Q29,INDEX('Com Measure Mapping'!W:W,MATCH($C29,'Com Measure Mapping'!B:B,0)))</f>
        <v>391.72</v>
      </c>
      <c r="S29" s="126">
        <f>Q29</f>
        <v>1048</v>
      </c>
      <c r="T29" s="126">
        <f>IFERROR(IF($D$2="Original",O29*Q29,O29*S29),0)</f>
        <v>11945.519782608693</v>
      </c>
      <c r="U29" s="126">
        <v>0</v>
      </c>
      <c r="V29" s="126">
        <f>IFERROR(IF($D$2="Original",PV($F$76,$X29,(-0.05*0.9*$J29)),PV($F$76,$Z29,(-0.05*0.9*$N29))),0)</f>
        <v>40.24268087970588</v>
      </c>
      <c r="W29" s="126">
        <f>IFERROR(IF($D$2="Original",MAX(0,O29*(Q29-U29-V29)),MAX(0,O29*(S29-U29-V29))),0)</f>
        <v>11486.817740095588</v>
      </c>
      <c r="X29" s="117">
        <v>12</v>
      </c>
      <c r="Y29" s="128">
        <f>IF(INDEX('Com Measure Mapping'!X:X,MATCH($C29,'Com Measure Mapping'!B:B,0))="N/A",X29,INDEX('Com Measure Mapping'!X:X,MATCH($C29,'Com Measure Mapping'!B:B,0)))</f>
        <v>12</v>
      </c>
      <c r="Z29" s="120">
        <f>Y29</f>
        <v>12</v>
      </c>
      <c r="AA29" s="120">
        <f>IFERROR(IF($D$2="Original",PV($F$76,X29,-P29),PV($F$76,Z29,-P29)),0)</f>
        <v>10193.378722513469</v>
      </c>
      <c r="AB29" s="126">
        <f>I29*$AB$72</f>
        <v>3574.0574999999999</v>
      </c>
      <c r="AC29" s="126">
        <v>500</v>
      </c>
      <c r="AD29" s="131">
        <f>IF(INDEX('Com Measure Mapping'!Y:Y,MATCH($C29,'Com Measure Mapping'!B:B,0))="N/A",AC29,INDEX('Com Measure Mapping'!Y:Y,MATCH($C29,'Com Measure Mapping'!B:B,0)))</f>
        <v>391.72480000000002</v>
      </c>
      <c r="AE29" s="119" t="str">
        <f>INDEX('Com Measure Mapping'!V:V,MATCH($C29,'Com Measure Mapping'!B:B,0))</f>
        <v>1 unit</v>
      </c>
      <c r="AF29" s="126">
        <f>AC29*1.2</f>
        <v>600</v>
      </c>
      <c r="AG29" s="126">
        <f>IFERROR(IF($D$2="Original",H29*AC29,H29*AF29),0)</f>
        <v>6839.0380434782601</v>
      </c>
      <c r="AH29" s="133">
        <f>IF(ISERROR(AG29/AA29),0,AG29/AA29)</f>
        <v>0.67092945623351663</v>
      </c>
      <c r="AI29" s="133">
        <f>IF(AA29=0,0,(AG29+AB29)/AA29)</f>
        <v>1.0215548570249346</v>
      </c>
      <c r="AJ29" s="122">
        <f>IFERROR(IF($D$2="Original",IF($AG29=0,"-",(VLOOKUP($X29,AC,7)*$P29)/($AG29+$AB29)),IF($AG29=0,"-",(VLOOKUP($Z29,AC,7)*$P29)/($AG29+$AB29))),0)</f>
        <v>1.1980187082100837</v>
      </c>
      <c r="AK29" s="76"/>
      <c r="AL29" s="133">
        <f>IF(ISERROR(W29/AA29),0,W29/AA29)</f>
        <v>1.1268901168878758</v>
      </c>
      <c r="AM29" s="133">
        <f>IF(AA29=0,0,(W29+AB29)/AA29)</f>
        <v>1.477515517679294</v>
      </c>
      <c r="AN29" s="122">
        <f>IFERROR(IF($D$2="Original",IF($W29=0,"-",(VLOOKUP($X29,AC,5)*$P29)/(W29+AB29)),IF($W29=0,"-",(VLOOKUP($Z29,AC,5)*$P29)/(W29+AB29))),0)</f>
        <v>0.75300967649273487</v>
      </c>
    </row>
    <row r="30" spans="1:40" s="3" customFormat="1" ht="26.25" thickBot="1" x14ac:dyDescent="0.25">
      <c r="B30" s="163" t="s">
        <v>402</v>
      </c>
      <c r="C30" s="104" t="str">
        <f>E30&amp;"_"&amp;F30&amp;"_"&amp;G30</f>
        <v>Griddle (Restaurant)_Energy Star_&gt;=38% Cooking Efficiency,&lt;= 2650 Btu/hr-sq ft Idle Rate</v>
      </c>
      <c r="D30" s="1"/>
      <c r="E30" s="113" t="s">
        <v>94</v>
      </c>
      <c r="F30" s="113" t="s">
        <v>15</v>
      </c>
      <c r="G30" s="113" t="s">
        <v>95</v>
      </c>
      <c r="H30" s="118">
        <f>P30/N30</f>
        <v>17.284725317949388</v>
      </c>
      <c r="I30" s="177">
        <f>3003/266945</f>
        <v>1.1249508325685066E-2</v>
      </c>
      <c r="J30" s="118">
        <v>273</v>
      </c>
      <c r="K30" s="116" t="s">
        <v>96</v>
      </c>
      <c r="L30" s="147">
        <f>IF(INDEX('Com Measure Mapping'!U:U,MATCH($C30,'Com Measure Mapping'!B:B,0))="N/A",J30,INDEX('Com Measure Mapping'!U:U,MATCH($C30,'Com Measure Mapping'!B:B,0)))</f>
        <v>159.86217928151615</v>
      </c>
      <c r="M30" s="147" t="str">
        <f>INDEX('Com Measure Mapping'!V:V,MATCH($C30,'Com Measure Mapping'!B:B,0))</f>
        <v>1 unit</v>
      </c>
      <c r="N30" s="118">
        <f>J30</f>
        <v>273</v>
      </c>
      <c r="O30" s="118">
        <f>H30</f>
        <v>17.284725317949388</v>
      </c>
      <c r="P30" s="118">
        <f>$P$72*I30</f>
        <v>4718.7300118001831</v>
      </c>
      <c r="Q30" s="125">
        <v>1048</v>
      </c>
      <c r="R30" s="145">
        <f>IF(INDEX('Com Measure Mapping'!W:W,MATCH($C30,'Com Measure Mapping'!B:B,0))="N/A",Q30,INDEX('Com Measure Mapping'!W:W,MATCH($C30,'Com Measure Mapping'!B:B,0)))</f>
        <v>391.72</v>
      </c>
      <c r="S30" s="125">
        <f>Q30</f>
        <v>1048</v>
      </c>
      <c r="T30" s="125">
        <f>IFERROR(IF($D$2="Original",O30*Q30,O30*S30),0)</f>
        <v>18114.392133210957</v>
      </c>
      <c r="U30" s="125">
        <v>0</v>
      </c>
      <c r="V30" s="125">
        <f>IFERROR(IF($D$2="Original",PV($F$76,$X30,(-0.05*0.9*$J30)),PV($F$76,$Z30,(-0.05*0.9*$N30))),0)</f>
        <v>119.41578130608376</v>
      </c>
      <c r="W30" s="125">
        <f>IFERROR(IF($D$2="Original",MAX(0,O30*(Q30-U30-V30)),MAX(0,O30*(S30-U30-V30))),0)</f>
        <v>16050.323154706984</v>
      </c>
      <c r="X30" s="116">
        <v>12</v>
      </c>
      <c r="Y30" s="146">
        <f>IF(INDEX('Com Measure Mapping'!X:X,MATCH($C30,'Com Measure Mapping'!B:B,0))="N/A",X30,INDEX('Com Measure Mapping'!X:X,MATCH($C30,'Com Measure Mapping'!B:B,0)))</f>
        <v>12</v>
      </c>
      <c r="Z30" s="118">
        <f>Y30</f>
        <v>12</v>
      </c>
      <c r="AA30" s="118">
        <f>IFERROR(IF($D$2="Original",PV($F$76,X30,-P30),PV($F$76,Z30,-P30)),0)</f>
        <v>45868.199522310504</v>
      </c>
      <c r="AB30" s="125">
        <f>I30*$AB$72</f>
        <v>16082.555841090862</v>
      </c>
      <c r="AC30" s="125">
        <v>500</v>
      </c>
      <c r="AD30" s="145">
        <f>IF(INDEX('Com Measure Mapping'!Y:Y,MATCH($C30,'Com Measure Mapping'!B:B,0))="N/A",AC30,INDEX('Com Measure Mapping'!Y:Y,MATCH($C30,'Com Measure Mapping'!B:B,0)))</f>
        <v>391.72480000000002</v>
      </c>
      <c r="AE30" s="147" t="str">
        <f>INDEX('Com Measure Mapping'!V:V,MATCH($C30,'Com Measure Mapping'!B:B,0))</f>
        <v>1 unit</v>
      </c>
      <c r="AF30" s="125">
        <f>AC30*1.2</f>
        <v>600</v>
      </c>
      <c r="AG30" s="125">
        <f>IFERROR(IF($D$2="Original",H30*AC30,H30*AF30),0)</f>
        <v>10370.835190769632</v>
      </c>
      <c r="AH30" s="132">
        <f>IF(ISERROR(AG30/AA30),0,AG30/AA30)</f>
        <v>0.2261007691336393</v>
      </c>
      <c r="AI30" s="132">
        <f>IF(AA30=0,0,(AG30+AB30)/AA30)</f>
        <v>0.57672616992505765</v>
      </c>
      <c r="AJ30" s="121">
        <f>IFERROR(IF($D$2="Original",IF($AG30=0,"-",(VLOOKUP($X30,AC,7)*$P30)/($AG30+$AB30)),IF($AG30=0,"-",(VLOOKUP($Z30,AC,7)*$P30)/($AG30+$AB30))),0)</f>
        <v>2.1220501062710238</v>
      </c>
      <c r="AK30" s="76"/>
      <c r="AL30" s="132">
        <f>IF(ISERROR(W30/AA30),0,W30/AA30)</f>
        <v>0.34992267675342331</v>
      </c>
      <c r="AM30" s="132">
        <f>IF(AA30=0,0,(W30+AB30)/AA30)</f>
        <v>0.70054807754484161</v>
      </c>
      <c r="AN30" s="121">
        <f>IFERROR(IF($D$2="Original",IF($W30=0,"-",(VLOOKUP($X30,AC,5)*$P30)/(W30+AB30)),IF($W30=0,"-",(VLOOKUP($Z30,AC,5)*$P30)/(W30+AB30))),0)</f>
        <v>1.5881614947540346</v>
      </c>
    </row>
    <row r="31" spans="1:40" s="3" customFormat="1" ht="26.25" thickBot="1" x14ac:dyDescent="0.25">
      <c r="B31" s="163" t="s">
        <v>403</v>
      </c>
      <c r="C31" s="104" t="str">
        <f>E31&amp;"_"&amp;F31&amp;"_"&amp;G31</f>
        <v>Griddle (School)_Energy Star_&gt;=38% Cooking Efficiency,&lt;= 2650 Btu/hr-sq ft Idle Rate</v>
      </c>
      <c r="D31" s="1"/>
      <c r="E31" s="114" t="s">
        <v>143</v>
      </c>
      <c r="F31" s="114" t="s">
        <v>15</v>
      </c>
      <c r="G31" s="114" t="s">
        <v>95</v>
      </c>
      <c r="H31" s="120">
        <f>P31/N31</f>
        <v>17.773771186440676</v>
      </c>
      <c r="I31" s="178">
        <v>2.5000000000000001E-3</v>
      </c>
      <c r="J31" s="120">
        <v>59</v>
      </c>
      <c r="K31" s="117" t="s">
        <v>96</v>
      </c>
      <c r="L31" s="119">
        <f>IF(INDEX('Com Measure Mapping'!U:U,MATCH($C31,'Com Measure Mapping'!B:B,0))="N/A",J31,INDEX('Com Measure Mapping'!U:U,MATCH($C31,'Com Measure Mapping'!B:B,0)))</f>
        <v>159.86217928151612</v>
      </c>
      <c r="M31" s="119" t="str">
        <f>INDEX('Com Measure Mapping'!V:V,MATCH($C31,'Com Measure Mapping'!B:B,0))</f>
        <v>1 unit</v>
      </c>
      <c r="N31" s="120">
        <f>J31</f>
        <v>59</v>
      </c>
      <c r="O31" s="120">
        <f>H31</f>
        <v>17.773771186440676</v>
      </c>
      <c r="P31" s="120">
        <f>$P$72*I31</f>
        <v>1048.6524999999999</v>
      </c>
      <c r="Q31" s="126">
        <v>1048</v>
      </c>
      <c r="R31" s="131">
        <f>IF(INDEX('Com Measure Mapping'!W:W,MATCH($C31,'Com Measure Mapping'!B:B,0))="N/A",Q31,INDEX('Com Measure Mapping'!W:W,MATCH($C31,'Com Measure Mapping'!B:B,0)))</f>
        <v>391.72</v>
      </c>
      <c r="S31" s="126">
        <f>Q31</f>
        <v>1048</v>
      </c>
      <c r="T31" s="126">
        <f>IFERROR(IF($D$2="Original",O31*Q31,O31*S31),0)</f>
        <v>18626.912203389827</v>
      </c>
      <c r="U31" s="126">
        <v>0</v>
      </c>
      <c r="V31" s="126">
        <f>IFERROR(IF($D$2="Original",PV($F$76,$X31,(-0.05*0.9*$J31)),PV($F$76,$Z31,(-0.05*0.9*$N31))),0)</f>
        <v>25.80780621633312</v>
      </c>
      <c r="W31" s="126">
        <f>IFERROR(IF($D$2="Original",MAX(0,O31*(Q31-U31-V31)),MAX(0,O31*(S31-U31-V31))),0)</f>
        <v>18168.210160876723</v>
      </c>
      <c r="X31" s="117">
        <v>12</v>
      </c>
      <c r="Y31" s="128">
        <f>IF(INDEX('Com Measure Mapping'!X:X,MATCH($C31,'Com Measure Mapping'!B:B,0))="N/A",X31,INDEX('Com Measure Mapping'!X:X,MATCH($C31,'Com Measure Mapping'!B:B,0)))</f>
        <v>12</v>
      </c>
      <c r="Z31" s="120">
        <f>Y31</f>
        <v>12</v>
      </c>
      <c r="AA31" s="120">
        <f>IFERROR(IF($D$2="Original",PV($F$76,X31,-P31),PV($F$76,Z31,-P31)),0)</f>
        <v>10193.378722513469</v>
      </c>
      <c r="AB31" s="126">
        <f>I31*$AB$72</f>
        <v>3574.0574999999999</v>
      </c>
      <c r="AC31" s="126">
        <v>500</v>
      </c>
      <c r="AD31" s="131">
        <f>IF(INDEX('Com Measure Mapping'!Y:Y,MATCH($C31,'Com Measure Mapping'!B:B,0))="N/A",AC31,INDEX('Com Measure Mapping'!Y:Y,MATCH($C31,'Com Measure Mapping'!B:B,0)))</f>
        <v>391.72480000000002</v>
      </c>
      <c r="AE31" s="119" t="str">
        <f>INDEX('Com Measure Mapping'!V:V,MATCH($C31,'Com Measure Mapping'!B:B,0))</f>
        <v>1 unit</v>
      </c>
      <c r="AF31" s="126">
        <f>AC31*1.2</f>
        <v>600</v>
      </c>
      <c r="AG31" s="126">
        <f>IFERROR(IF($D$2="Original",H31*AC31,H31*AF31),0)</f>
        <v>10664.262711864405</v>
      </c>
      <c r="AH31" s="133">
        <f>IF(ISERROR(AG31/AA31),0,AG31/AA31)</f>
        <v>1.046195084296331</v>
      </c>
      <c r="AI31" s="133">
        <f>IF(AA31=0,0,(AG31+AB31)/AA31)</f>
        <v>1.396820485087749</v>
      </c>
      <c r="AJ31" s="122">
        <f>IFERROR(IF($D$2="Original",IF($AG31=0,"-",(VLOOKUP($X31,AC,7)*$P31)/($AG31+$AB31)),IF($AG31=0,"-",(VLOOKUP($Z31,AC,7)*$P31)/($AG31+$AB31))),0)</f>
        <v>0.87616257296073841</v>
      </c>
      <c r="AK31" s="76"/>
      <c r="AL31" s="133">
        <f>IF(ISERROR(W31/AA31),0,W31/AA31)</f>
        <v>1.7823540805709248</v>
      </c>
      <c r="AM31" s="133">
        <f>IF(AA31=0,0,(W31+AB31)/AA31)</f>
        <v>2.1329794813623431</v>
      </c>
      <c r="AN31" s="122">
        <f>IFERROR(IF($D$2="Original",IF($W31=0,"-",(VLOOKUP($X31,AC,5)*$P31)/(W31+AB31)),IF($W31=0,"-",(VLOOKUP($Z31,AC,5)*$P31)/(W31+AB31))),0)</f>
        <v>0.52161002564828662</v>
      </c>
    </row>
    <row r="32" spans="1:40" s="3" customFormat="1" ht="13.5" thickBot="1" x14ac:dyDescent="0.25">
      <c r="B32" s="3">
        <v>18</v>
      </c>
      <c r="C32" s="104" t="str">
        <f>E32&amp;"_"&amp;F32&amp;"_"&amp;G32</f>
        <v>HVAC Unit Heater - Condensing_High Efficiency Condensing_Minimum 92% AFUE</v>
      </c>
      <c r="D32" s="1"/>
      <c r="E32" s="113" t="s">
        <v>144</v>
      </c>
      <c r="F32" s="113" t="s">
        <v>155</v>
      </c>
      <c r="G32" s="113" t="s">
        <v>19</v>
      </c>
      <c r="H32" s="118">
        <f>P32/N32</f>
        <v>2365.4527203825678</v>
      </c>
      <c r="I32" s="177">
        <v>5.0000000000000001E-3</v>
      </c>
      <c r="J32" s="118">
        <v>1.1000000000000001</v>
      </c>
      <c r="K32" s="116" t="s">
        <v>102</v>
      </c>
      <c r="L32" s="147">
        <f>IF(INDEX('Com Measure Mapping'!U:U,MATCH($C32,'Com Measure Mapping'!B:B,0))="N/A",J32,INDEX('Com Measure Mapping'!U:U,MATCH($C32,'Com Measure Mapping'!B:B,0)))</f>
        <v>0.88663999999999998</v>
      </c>
      <c r="M32" s="147" t="str">
        <f>INDEX('Com Measure Mapping'!V:V,MATCH($C32,'Com Measure Mapping'!B:B,0))</f>
        <v>kBtu/hr</v>
      </c>
      <c r="N32" s="118">
        <f>L32</f>
        <v>0.88663999999999998</v>
      </c>
      <c r="O32" s="118">
        <f>H32</f>
        <v>2365.4527203825678</v>
      </c>
      <c r="P32" s="118">
        <f>$P$72*I32</f>
        <v>2097.3049999999998</v>
      </c>
      <c r="Q32" s="125">
        <v>5.23</v>
      </c>
      <c r="R32" s="145">
        <f>IF(INDEX('Com Measure Mapping'!W:W,MATCH($C32,'Com Measure Mapping'!B:B,0))="N/A",Q32,INDEX('Com Measure Mapping'!W:W,MATCH($C32,'Com Measure Mapping'!B:B,0)))</f>
        <v>16.739519999999999</v>
      </c>
      <c r="S32" s="125">
        <f>R32</f>
        <v>16.739519999999999</v>
      </c>
      <c r="T32" s="125">
        <f>IFERROR(IF($D$2="Original",O32*Q32,O32*S32),0)</f>
        <v>39596.543121898401</v>
      </c>
      <c r="U32" s="125">
        <v>0</v>
      </c>
      <c r="V32" s="125">
        <f>IFERROR(IF($D$2="Original",PV($F$76,$X32,(-0.05*0.9*$J32)),PV($F$76,$Z32,(-0.05*0.9*$N32))),0)</f>
        <v>0.46281617637012201</v>
      </c>
      <c r="W32" s="125">
        <f>IFERROR(IF($D$2="Original",MAX(0,O32*(Q32-U32-V32)),MAX(0,O32*(S32-U32-V32))),0)</f>
        <v>38501.773338466635</v>
      </c>
      <c r="X32" s="116">
        <v>18</v>
      </c>
      <c r="Y32" s="146">
        <f>IF(INDEX('Com Measure Mapping'!X:X,MATCH($C32,'Com Measure Mapping'!B:B,0))="N/A",X32,INDEX('Com Measure Mapping'!X:X,MATCH($C32,'Com Measure Mapping'!B:B,0)))</f>
        <v>15</v>
      </c>
      <c r="Z32" s="118">
        <f>Y32</f>
        <v>15</v>
      </c>
      <c r="AA32" s="118">
        <f>IFERROR(IF($D$2="Original",PV($F$76,X32,-P32),PV($F$76,Z32,-P32)),0)</f>
        <v>24328.217409594741</v>
      </c>
      <c r="AB32" s="125">
        <f>I32*$AB$72</f>
        <v>7148.1149999999998</v>
      </c>
      <c r="AC32" s="125">
        <v>5</v>
      </c>
      <c r="AD32" s="145">
        <f>IF(INDEX('Com Measure Mapping'!Y:Y,MATCH($C32,'Com Measure Mapping'!B:B,0))="N/A",AC32,INDEX('Com Measure Mapping'!Y:Y,MATCH($C32,'Com Measure Mapping'!B:B,0)))</f>
        <v>1.6261126258630161</v>
      </c>
      <c r="AE32" s="147" t="str">
        <f>INDEX('Com Measure Mapping'!V:V,MATCH($C32,'Com Measure Mapping'!B:B,0))</f>
        <v>kBtu/hr</v>
      </c>
      <c r="AF32" s="125">
        <f>AC32</f>
        <v>5</v>
      </c>
      <c r="AG32" s="125">
        <f>IFERROR(IF($D$2="Original",H32*AC32,H32*AF32),0)</f>
        <v>11827.263601912839</v>
      </c>
      <c r="AH32" s="132">
        <f>IF(ISERROR(AG32/AA32),0,AG32/AA32)</f>
        <v>0.48615413956504333</v>
      </c>
      <c r="AI32" s="132">
        <f>IF(AA32=0,0,(AG32+AB32)/AA32)</f>
        <v>0.77997406396200608</v>
      </c>
      <c r="AJ32" s="121">
        <f>IFERROR(IF($D$2="Original",IF($AG32=0,"-",(VLOOKUP($X32,AC,7)*$P32)/($AG32+$AB32)),IF($AG32=0,"-",(VLOOKUP($Z32,AC,7)*$P32)/($AG32+$AB32))),0)</f>
        <v>1.6815614754380734</v>
      </c>
      <c r="AK32" s="76"/>
      <c r="AL32" s="132">
        <f>IF(ISERROR(W32/AA32),0,W32/AA32)</f>
        <v>1.5825973884663667</v>
      </c>
      <c r="AM32" s="132">
        <f>IF(AA32=0,0,(W32+AB32)/AA32)</f>
        <v>1.8764173128633295</v>
      </c>
      <c r="AN32" s="121">
        <f>IFERROR(IF($D$2="Original",IF($W32=0,"-",(VLOOKUP($X32,AC,5)*$P32)/(W32+AB32)),IF($W32=0,"-",(VLOOKUP($Z32,AC,5)*$P32)/(W32+AB32))),0)</f>
        <v>0.6354345053824344</v>
      </c>
    </row>
    <row r="33" spans="2:40" s="3" customFormat="1" ht="26.25" thickBot="1" x14ac:dyDescent="0.25">
      <c r="C33" s="104" t="str">
        <f>E33&amp;"_"&amp;F33&amp;"_"&amp;G33</f>
        <v>HVAC Unit Heater - Non-Condensing_High-Efficiency-Non-Condensing Unit Heater with Electronic Ignition_Minimum 86% AFUE</v>
      </c>
      <c r="D33" s="1"/>
      <c r="E33" s="114" t="s">
        <v>145</v>
      </c>
      <c r="F33" s="114" t="s">
        <v>156</v>
      </c>
      <c r="G33" s="114" t="s">
        <v>18</v>
      </c>
      <c r="H33" s="120">
        <f>P33/N33</f>
        <v>0</v>
      </c>
      <c r="I33" s="178">
        <v>0</v>
      </c>
      <c r="J33" s="120">
        <v>0.61</v>
      </c>
      <c r="K33" s="117" t="s">
        <v>102</v>
      </c>
      <c r="L33" s="119" t="s">
        <v>250</v>
      </c>
      <c r="M33" s="119" t="str">
        <f>INDEX('Com Measure Mapping'!V:V,MATCH($C33,'Com Measure Mapping'!B:B,0))</f>
        <v>N/A</v>
      </c>
      <c r="N33" s="120">
        <f>J33</f>
        <v>0.61</v>
      </c>
      <c r="O33" s="120">
        <f>H33</f>
        <v>0</v>
      </c>
      <c r="P33" s="120">
        <f>$P$72*I33</f>
        <v>0</v>
      </c>
      <c r="Q33" s="126">
        <v>3.26</v>
      </c>
      <c r="R33" s="131" t="s">
        <v>250</v>
      </c>
      <c r="S33" s="126">
        <f>Q33</f>
        <v>3.26</v>
      </c>
      <c r="T33" s="126">
        <f>IFERROR(IF($D$2="Original",O33*Q33,O33*S33),0)</f>
        <v>0</v>
      </c>
      <c r="U33" s="126">
        <v>0</v>
      </c>
      <c r="V33" s="126">
        <f>IFERROR(IF($D$2="Original",PV($F$76,$X33,(-0.05*0.9*$J33)),PV($F$76,$Z33,(-0.05*0.9*$N33))),0)</f>
        <v>0.36507657356515927</v>
      </c>
      <c r="W33" s="126">
        <f>IFERROR(IF($D$2="Original",MAX(0,O33*(Q33-U33-V33)),MAX(0,O33*(S33-U33-V33))),0)</f>
        <v>0</v>
      </c>
      <c r="X33" s="117">
        <v>18</v>
      </c>
      <c r="Y33" s="128" t="s">
        <v>250</v>
      </c>
      <c r="Z33" s="120">
        <f>X33</f>
        <v>18</v>
      </c>
      <c r="AA33" s="120">
        <f>IFERROR(IF($D$2="Original",PV($F$76,X33,-P33),PV($F$76,Z33,-P33)),0)</f>
        <v>0</v>
      </c>
      <c r="AB33" s="126">
        <f>I33*$AB$72</f>
        <v>0</v>
      </c>
      <c r="AC33" s="126">
        <v>1.5</v>
      </c>
      <c r="AD33" s="131" t="s">
        <v>250</v>
      </c>
      <c r="AE33" s="119" t="str">
        <f>INDEX('Com Measure Mapping'!V:V,MATCH($C33,'Com Measure Mapping'!B:B,0))</f>
        <v>N/A</v>
      </c>
      <c r="AF33" s="126">
        <f>AC33</f>
        <v>1.5</v>
      </c>
      <c r="AG33" s="126">
        <f>IFERROR(IF($D$2="Original",H33*AC33,H33*AF33),0)</f>
        <v>0</v>
      </c>
      <c r="AH33" s="133">
        <f>IF(ISERROR(AG33/AA33),0,AG33/AA33)</f>
        <v>0</v>
      </c>
      <c r="AI33" s="133">
        <f>IF(AA33=0,0,(AG33+AB33)/AA33)</f>
        <v>0</v>
      </c>
      <c r="AJ33" s="122" t="str">
        <f>IFERROR(IF($D$2="Original",IF($AG33=0,"-",(VLOOKUP($X33,AC,7)*$P33)/($AG33+$AB33)),IF($AG33=0,"-",(VLOOKUP($Z33,AC,7)*$P33)/($AG33+$AB33))),0)</f>
        <v>-</v>
      </c>
      <c r="AK33" s="76"/>
      <c r="AL33" s="133">
        <f>IF(ISERROR(W33/AA33),0,W33/AA33)</f>
        <v>0</v>
      </c>
      <c r="AM33" s="133">
        <f>IF(AA33=0,0,(W33+AB33)/AA33)</f>
        <v>0</v>
      </c>
      <c r="AN33" s="122" t="str">
        <f>IFERROR(IF($D$2="Original",IF($W33=0,"-",(VLOOKUP($X33,AC,5)*$P33)/(W33+AB33)),IF($W33=0,"-",(VLOOKUP($Z33,AC,5)*$P33)/(W33+AB33))),0)</f>
        <v>-</v>
      </c>
    </row>
    <row r="34" spans="2:40" s="3" customFormat="1" ht="13.5" thickBot="1" x14ac:dyDescent="0.25">
      <c r="B34" s="3">
        <v>19</v>
      </c>
      <c r="C34" s="104" t="str">
        <f>E34&amp;"_"&amp;F34&amp;"_"&amp;G34</f>
        <v>Insulation - Attic - Tier 1 - Min R-30_Attic Insulation_Tier 1 /  Minimum R-30</v>
      </c>
      <c r="E34" s="113" t="s">
        <v>116</v>
      </c>
      <c r="F34" s="113" t="s">
        <v>58</v>
      </c>
      <c r="G34" s="113" t="s">
        <v>117</v>
      </c>
      <c r="H34" s="118">
        <f>P34/N34</f>
        <v>113133.50691385037</v>
      </c>
      <c r="I34" s="177">
        <v>8.3610602995972477E-2</v>
      </c>
      <c r="J34" s="118">
        <v>0.31</v>
      </c>
      <c r="K34" s="116" t="s">
        <v>118</v>
      </c>
      <c r="L34" s="147">
        <f>IF(INDEX('Com Measure Mapping'!U:U,MATCH($C34,'Com Measure Mapping'!B:B,0))="N/A",J34,INDEX('Com Measure Mapping'!U:U,MATCH($C34,'Com Measure Mapping'!B:B,0)))</f>
        <v>5.7284653510754076E-2</v>
      </c>
      <c r="M34" s="147" t="str">
        <f>INDEX('Com Measure Mapping'!V:V,MATCH($C34,'Com Measure Mapping'!B:B,0))</f>
        <v>sqft roof</v>
      </c>
      <c r="N34" s="118">
        <f>J34</f>
        <v>0.31</v>
      </c>
      <c r="O34" s="118">
        <f>H34</f>
        <v>113133.50691385037</v>
      </c>
      <c r="P34" s="118">
        <f>$P$72*I34</f>
        <v>35071.387143293614</v>
      </c>
      <c r="Q34" s="125">
        <v>1.35</v>
      </c>
      <c r="R34" s="145">
        <f>IF(INDEX('Com Measure Mapping'!W:W,MATCH($C34,'Com Measure Mapping'!B:B,0))="N/A",Q34,INDEX('Com Measure Mapping'!W:W,MATCH($C34,'Com Measure Mapping'!B:B,0)))</f>
        <v>0.67959183673469392</v>
      </c>
      <c r="S34" s="125">
        <f>Q34</f>
        <v>1.35</v>
      </c>
      <c r="T34" s="125">
        <f>IFERROR(IF($D$2="Original",O34*Q34,O34*S34),0)</f>
        <v>152730.23433369803</v>
      </c>
      <c r="U34" s="125">
        <v>0</v>
      </c>
      <c r="V34" s="125">
        <f>IFERROR(IF($D$2="Original",PV($F$76,$X34,(-0.05*0.9*$J34)),PV($F$76,$Z34,(-0.05*0.9*$N34))),0)</f>
        <v>0.25981399800736749</v>
      </c>
      <c r="W34" s="125">
        <f>IFERROR(IF($D$2="Original",MAX(0,O34*(Q34-U34-V34)),MAX(0,O34*(S34-U34-V34))),0)</f>
        <v>123336.5655938164</v>
      </c>
      <c r="X34" s="116">
        <v>30</v>
      </c>
      <c r="Y34" s="146">
        <f>IF(INDEX('Com Measure Mapping'!X:X,MATCH($C34,'Com Measure Mapping'!B:B,0))="N/A",X34,INDEX('Com Measure Mapping'!X:X,MATCH($C34,'Com Measure Mapping'!B:B,0)))</f>
        <v>45</v>
      </c>
      <c r="Z34" s="118">
        <f>X34</f>
        <v>30</v>
      </c>
      <c r="AA34" s="118">
        <f>IFERROR(IF($D$2="Original",PV($F$76,X34,-P34),PV($F$76,Z34,-P34)),0)</f>
        <v>653192.63866403583</v>
      </c>
      <c r="AB34" s="125">
        <f>I34*$AB$72</f>
        <v>119531.64108691116</v>
      </c>
      <c r="AC34" s="125">
        <v>2</v>
      </c>
      <c r="AD34" s="145">
        <f>IF(INDEX('Com Measure Mapping'!Y:Y,MATCH($C34,'Com Measure Mapping'!B:B,0))="N/A",AC34,INDEX('Com Measure Mapping'!Y:Y,MATCH($C34,'Com Measure Mapping'!B:B,0)))</f>
        <v>0.55181691777660391</v>
      </c>
      <c r="AE34" s="147" t="str">
        <f>INDEX('Com Measure Mapping'!V:V,MATCH($C34,'Com Measure Mapping'!B:B,0))</f>
        <v>sqft roof</v>
      </c>
      <c r="AF34" s="125">
        <f>AC34</f>
        <v>2</v>
      </c>
      <c r="AG34" s="125">
        <f>IFERROR(IF($D$2="Original",H34*AC34,H34*AF34),0)</f>
        <v>226267.01382770075</v>
      </c>
      <c r="AH34" s="132">
        <f>IF(ISERROR(AG34/AA34),0,AG34/AA34)</f>
        <v>0.34640165922641286</v>
      </c>
      <c r="AI34" s="132">
        <f>IF(AA34=0,0,(AG34+AB34)/AA34)</f>
        <v>0.52939766072971706</v>
      </c>
      <c r="AJ34" s="121">
        <f>IFERROR(IF($D$2="Original",IF($AG34=0,"-",(VLOOKUP($X34,AC,7)*$P34)/($AG34+$AB34)),IF($AG34=0,"-",(VLOOKUP($Z34,AC,7)*$P34)/($AG34+$AB34))),0)</f>
        <v>3.5352991423619011</v>
      </c>
      <c r="AK34" s="76"/>
      <c r="AL34" s="132">
        <f>IF(ISERROR(W34/AA34),0,W34/AA34)</f>
        <v>0.18882111997782866</v>
      </c>
      <c r="AM34" s="132">
        <f>IF(AA34=0,0,(W34+AB34)/AA34)</f>
        <v>0.37181712148113288</v>
      </c>
      <c r="AN34" s="121">
        <f>IFERROR(IF($D$2="Original",IF($W34=0,"-",(VLOOKUP($X34,AC,5)*$P34)/(W34+AB34)),IF($W34=0,"-",(VLOOKUP($Z34,AC,5)*$P34)/(W34+AB34))),0)</f>
        <v>4.5760010593153302</v>
      </c>
    </row>
    <row r="35" spans="2:40" s="3" customFormat="1" ht="13.5" thickBot="1" x14ac:dyDescent="0.25">
      <c r="B35" s="163" t="s">
        <v>417</v>
      </c>
      <c r="C35" s="104" t="str">
        <f>E35&amp;"_"&amp;F35&amp;"_"&amp;G35</f>
        <v>Insulation - Attic - Tier 2 - Min R-45_Attic Insulation_Tier 2 /  Minimum R-45</v>
      </c>
      <c r="E35" s="114" t="s">
        <v>130</v>
      </c>
      <c r="F35" s="114" t="s">
        <v>58</v>
      </c>
      <c r="G35" s="114" t="s">
        <v>131</v>
      </c>
      <c r="H35" s="120">
        <f>P35/N35</f>
        <v>109598.08482279255</v>
      </c>
      <c r="I35" s="178">
        <v>8.3610602995972477E-2</v>
      </c>
      <c r="J35" s="120">
        <v>0.32</v>
      </c>
      <c r="K35" s="117" t="s">
        <v>118</v>
      </c>
      <c r="L35" s="119">
        <f>IF(INDEX('Com Measure Mapping'!U:U,MATCH($C35,'Com Measure Mapping'!B:B,0))="N/A",J35,INDEX('Com Measure Mapping'!U:U,MATCH($C35,'Com Measure Mapping'!B:B,0)))</f>
        <v>8.5926980266131103E-2</v>
      </c>
      <c r="M35" s="119" t="str">
        <f>INDEX('Com Measure Mapping'!V:V,MATCH($C35,'Com Measure Mapping'!B:B,0))</f>
        <v>sqft roof</v>
      </c>
      <c r="N35" s="120">
        <f>J35</f>
        <v>0.32</v>
      </c>
      <c r="O35" s="120">
        <f>H35</f>
        <v>109598.08482279255</v>
      </c>
      <c r="P35" s="120">
        <f>$P$72*I35</f>
        <v>35071.387143293614</v>
      </c>
      <c r="Q35" s="126">
        <v>1.63</v>
      </c>
      <c r="R35" s="131">
        <f>IF(INDEX('Com Measure Mapping'!W:W,MATCH($C35,'Com Measure Mapping'!B:B,0))="N/A",Q35,INDEX('Com Measure Mapping'!W:W,MATCH($C35,'Com Measure Mapping'!B:B,0)))</f>
        <v>1.0193877551020409</v>
      </c>
      <c r="S35" s="126">
        <f>Q35</f>
        <v>1.63</v>
      </c>
      <c r="T35" s="126">
        <f>IFERROR(IF($D$2="Original",O35*Q35,O35*S35),0)</f>
        <v>178644.87826115184</v>
      </c>
      <c r="U35" s="126">
        <v>0</v>
      </c>
      <c r="V35" s="126">
        <f>IFERROR(IF($D$2="Original",PV($F$76,$X35,(-0.05*0.9*$J35)),PV($F$76,$Z35,(-0.05*0.9*$N35))),0)</f>
        <v>0.26819509471728253</v>
      </c>
      <c r="W35" s="126">
        <f>IFERROR(IF($D$2="Original",MAX(0,O35*(Q35-U35-V35)),MAX(0,O35*(S35-U35-V35))),0)</f>
        <v>149251.20952127024</v>
      </c>
      <c r="X35" s="117">
        <v>30</v>
      </c>
      <c r="Y35" s="128">
        <f>IF(INDEX('Com Measure Mapping'!X:X,MATCH($C35,'Com Measure Mapping'!B:B,0))="N/A",X35,INDEX('Com Measure Mapping'!X:X,MATCH($C35,'Com Measure Mapping'!B:B,0)))</f>
        <v>45</v>
      </c>
      <c r="Z35" s="120">
        <f>X35</f>
        <v>30</v>
      </c>
      <c r="AA35" s="120">
        <f>IFERROR(IF($D$2="Original",PV($F$76,X35,-P35),PV($F$76,Z35,-P35)),0)</f>
        <v>653192.63866403583</v>
      </c>
      <c r="AB35" s="126">
        <f>I35*$AB$72</f>
        <v>119531.64108691116</v>
      </c>
      <c r="AC35" s="126">
        <v>2.5</v>
      </c>
      <c r="AD35" s="131">
        <f>IF(INDEX('Com Measure Mapping'!Y:Y,MATCH($C35,'Com Measure Mapping'!B:B,0))="N/A",AC35,INDEX('Com Measure Mapping'!Y:Y,MATCH($C35,'Com Measure Mapping'!B:B,0)))</f>
        <v>0.82772537666490575</v>
      </c>
      <c r="AE35" s="119" t="str">
        <f>INDEX('Com Measure Mapping'!V:V,MATCH($C35,'Com Measure Mapping'!B:B,0))</f>
        <v>sqft roof</v>
      </c>
      <c r="AF35" s="126">
        <f>AC35</f>
        <v>2.5</v>
      </c>
      <c r="AG35" s="126">
        <f>IFERROR(IF($D$2="Original",H35*AC35,H35*AF35),0)</f>
        <v>273995.21205698134</v>
      </c>
      <c r="AH35" s="133">
        <f>IF(ISERROR(AG35/AA35),0,AG35/AA35)</f>
        <v>0.41947075921948423</v>
      </c>
      <c r="AI35" s="133">
        <f>IF(AA35=0,0,(AG35+AB35)/AA35)</f>
        <v>0.60246676072278849</v>
      </c>
      <c r="AJ35" s="122">
        <f>IFERROR(IF($D$2="Original",IF($AG35=0,"-",(VLOOKUP($X35,AC,7)*$P35)/($AG35+$AB35)),IF($AG35=0,"-",(VLOOKUP($Z35,AC,7)*$P35)/($AG35+$AB35))),0)</f>
        <v>3.1065267297083805</v>
      </c>
      <c r="AK35" s="76"/>
      <c r="AL35" s="133">
        <f>IF(ISERROR(W35/AA35),0,W35/AA35)</f>
        <v>0.22849493501110374</v>
      </c>
      <c r="AM35" s="133">
        <f>IF(AA35=0,0,(W35+AB35)/AA35)</f>
        <v>0.41149093651440793</v>
      </c>
      <c r="AN35" s="122">
        <f>IFERROR(IF($D$2="Original",IF($W35=0,"-",(VLOOKUP($X35,AC,5)*$P35)/(W35+AB35)),IF($W35=0,"-",(VLOOKUP($Z35,AC,5)*$P35)/(W35+AB35))),0)</f>
        <v>4.1348068469781873</v>
      </c>
    </row>
    <row r="36" spans="2:40" s="3" customFormat="1" ht="26.25" thickBot="1" x14ac:dyDescent="0.25">
      <c r="B36" s="3">
        <v>13</v>
      </c>
      <c r="C36" s="104" t="str">
        <f>E36&amp;"_"&amp;F36&amp;"_"&amp;G36</f>
        <v>Insulation - Floor_Floor Insulation_Equal to or greater than R-30 Post and equal to or less than R-11 Pre</v>
      </c>
      <c r="D36" s="1"/>
      <c r="E36" s="113" t="s">
        <v>171</v>
      </c>
      <c r="F36" s="113" t="s">
        <v>157</v>
      </c>
      <c r="G36" s="113" t="s">
        <v>158</v>
      </c>
      <c r="H36" s="118">
        <f>P36/N36</f>
        <v>3745.1875</v>
      </c>
      <c r="I36" s="177">
        <v>5.0000000000000001E-4</v>
      </c>
      <c r="J36" s="118">
        <v>5.6000000000000001E-2</v>
      </c>
      <c r="K36" s="116" t="s">
        <v>127</v>
      </c>
      <c r="L36" s="147" t="s">
        <v>250</v>
      </c>
      <c r="M36" s="147" t="str">
        <f>INDEX('Com Measure Mapping'!V:V,MATCH($C36,'Com Measure Mapping'!B:B,0))</f>
        <v>N/A</v>
      </c>
      <c r="N36" s="118">
        <f>J36</f>
        <v>5.6000000000000001E-2</v>
      </c>
      <c r="O36" s="118">
        <f>H36</f>
        <v>3745.1875</v>
      </c>
      <c r="P36" s="118">
        <f>$P$72*I36</f>
        <v>209.73050000000001</v>
      </c>
      <c r="Q36" s="125">
        <v>1.08</v>
      </c>
      <c r="R36" s="145" t="s">
        <v>250</v>
      </c>
      <c r="S36" s="125">
        <f>Q36</f>
        <v>1.08</v>
      </c>
      <c r="T36" s="125">
        <f>IFERROR(IF($D$2="Original",O36*Q36,O36*S36),0)</f>
        <v>4044.8025000000002</v>
      </c>
      <c r="U36" s="125">
        <v>0</v>
      </c>
      <c r="V36" s="125">
        <f>IFERROR(IF($D$2="Original",PV($F$76,$X36,(-0.05*0.9*$J36)),PV($F$76,$Z36,(-0.05*0.9*$N36))),0)</f>
        <v>4.6934141575524453E-2</v>
      </c>
      <c r="W36" s="125">
        <f>IFERROR(IF($D$2="Original",MAX(0,O36*(Q36-U36-V36)),MAX(0,O36*(S36-U36-V36))),0)</f>
        <v>3869.0253396481157</v>
      </c>
      <c r="X36" s="116">
        <v>45</v>
      </c>
      <c r="Y36" s="146" t="s">
        <v>250</v>
      </c>
      <c r="Z36" s="118">
        <v>30</v>
      </c>
      <c r="AA36" s="118">
        <f>IFERROR(IF($D$2="Original",PV($F$76,X36,-P36),PV($F$76,Z36,-P36)),0)</f>
        <v>3906.1591189307655</v>
      </c>
      <c r="AB36" s="125">
        <f>I36*$AB$72</f>
        <v>714.81150000000002</v>
      </c>
      <c r="AC36" s="125">
        <v>0.75</v>
      </c>
      <c r="AD36" s="145" t="s">
        <v>250</v>
      </c>
      <c r="AE36" s="147" t="str">
        <f>INDEX('Com Measure Mapping'!V:V,MATCH($C36,'Com Measure Mapping'!B:B,0))</f>
        <v>N/A</v>
      </c>
      <c r="AF36" s="125">
        <v>1.25</v>
      </c>
      <c r="AG36" s="125">
        <f>IFERROR(IF($D$2="Original",H36*AC36,H36*AF36),0)</f>
        <v>4681.484375</v>
      </c>
      <c r="AH36" s="132">
        <f>IF(ISERROR(AG36/AA36),0,AG36/AA36)</f>
        <v>1.1984878834842407</v>
      </c>
      <c r="AI36" s="132">
        <f>IF(AA36=0,0,(AG36+AB36)/AA36)</f>
        <v>1.381483884987545</v>
      </c>
      <c r="AJ36" s="121">
        <f>IFERROR(IF($D$2="Original",IF($AG36=0,"-",(VLOOKUP($X36,AC,7)*$P36)/($AG36+$AB36)),IF($AG36=0,"-",(VLOOKUP($Z36,AC,7)*$P36)/($AG36+$AB36))),0)</f>
        <v>1.354759991256097</v>
      </c>
      <c r="AK36" s="76"/>
      <c r="AL36" s="132">
        <f>IF(ISERROR(W36/AA36),0,W36/AA36)</f>
        <v>0.99049353133038409</v>
      </c>
      <c r="AM36" s="132">
        <f>IF(AA36=0,0,(W36+AB36)/AA36)</f>
        <v>1.1734895328336883</v>
      </c>
      <c r="AN36" s="121">
        <f>IFERROR(IF($D$2="Original",IF($W36=0,"-",(VLOOKUP($X36,AC,5)*$P36)/(W36+AB36)),IF($W36=0,"-",(VLOOKUP($Z36,AC,5)*$P36)/(W36+AB36))),0)</f>
        <v>1.4498940929287141</v>
      </c>
    </row>
    <row r="37" spans="2:40" s="3" customFormat="1" ht="13.5" thickBot="1" x14ac:dyDescent="0.25">
      <c r="B37" s="3">
        <v>25</v>
      </c>
      <c r="C37" s="104" t="str">
        <f>E37&amp;"_"&amp;F37&amp;"_"&amp;G37</f>
        <v>Insulation - Pipe - 1.5"_1.5" Thick Pipe Insulation _Retrofit for T&gt;140F&lt;=200F</v>
      </c>
      <c r="D37" s="1"/>
      <c r="E37" s="114" t="s">
        <v>146</v>
      </c>
      <c r="F37" s="114" t="s">
        <v>159</v>
      </c>
      <c r="G37" s="114" t="s">
        <v>160</v>
      </c>
      <c r="H37" s="120">
        <f>P37/N37</f>
        <v>4709.6795573594436</v>
      </c>
      <c r="I37" s="178">
        <v>5.1668611275031889E-2</v>
      </c>
      <c r="J37" s="120">
        <v>6</v>
      </c>
      <c r="K37" s="117" t="s">
        <v>167</v>
      </c>
      <c r="L37" s="119">
        <f>IF(INDEX('Com Measure Mapping'!U:U,MATCH($C37,'Com Measure Mapping'!B:B,0))="N/A",J37,INDEX('Com Measure Mapping'!U:U,MATCH($C37,'Com Measure Mapping'!B:B,0)))</f>
        <v>4.6017923491566473</v>
      </c>
      <c r="M37" s="119" t="str">
        <f>INDEX('Com Measure Mapping'!V:V,MATCH($C37,'Com Measure Mapping'!B:B,0))</f>
        <v>boiler pipe</v>
      </c>
      <c r="N37" s="120">
        <f>L37</f>
        <v>4.6017923491566473</v>
      </c>
      <c r="O37" s="120">
        <f>H37</f>
        <v>4709.6795573594436</v>
      </c>
      <c r="P37" s="120">
        <f>$P$72*I37</f>
        <v>21672.967354036151</v>
      </c>
      <c r="Q37" s="126">
        <v>8</v>
      </c>
      <c r="R37" s="131">
        <f>IF(INDEX('Com Measure Mapping'!W:W,MATCH($C37,'Com Measure Mapping'!B:B,0))="N/A",Q37,INDEX('Com Measure Mapping'!W:W,MATCH($C37,'Com Measure Mapping'!B:B,0)))</f>
        <v>10.78</v>
      </c>
      <c r="S37" s="126">
        <f>Q37</f>
        <v>8</v>
      </c>
      <c r="T37" s="126">
        <f>IFERROR(IF($D$2="Original",O37*Q37,O37*S37),0)</f>
        <v>37677.436458875549</v>
      </c>
      <c r="U37" s="126">
        <v>0</v>
      </c>
      <c r="V37" s="126">
        <f>IFERROR(IF($D$2="Original",PV($F$76,$X37,(-0.05*0.9*$J37)),PV($F$76,$Z37,(-0.05*0.9*$N37))),0)</f>
        <v>2.9699231976646661</v>
      </c>
      <c r="W37" s="126">
        <f>IFERROR(IF($D$2="Original",MAX(0,O37*(Q37-U37-V37)),MAX(0,O37*(S37-U37-V37))),0)</f>
        <v>23690.04988790668</v>
      </c>
      <c r="X37" s="117">
        <v>20</v>
      </c>
      <c r="Y37" s="128">
        <f>IF(INDEX('Com Measure Mapping'!X:X,MATCH($C37,'Com Measure Mapping'!B:B,0))="N/A",X37,INDEX('Com Measure Mapping'!X:X,MATCH($C37,'Com Measure Mapping'!B:B,0)))</f>
        <v>20</v>
      </c>
      <c r="Z37" s="120">
        <f>Y37</f>
        <v>20</v>
      </c>
      <c r="AA37" s="120">
        <f>IFERROR(IF($D$2="Original",PV($F$76,X37,-P37),PV($F$76,Z37,-P37)),0)</f>
        <v>310830.81268819695</v>
      </c>
      <c r="AB37" s="126">
        <f>I37*$AB$72</f>
        <v>73866.635056844912</v>
      </c>
      <c r="AC37" s="126">
        <v>15</v>
      </c>
      <c r="AD37" s="131">
        <f>IF(INDEX('Com Measure Mapping'!Y:Y,MATCH($C37,'Com Measure Mapping'!B:B,0))="N/A",AC37,INDEX('Com Measure Mapping'!Y:Y,MATCH($C37,'Com Measure Mapping'!B:B,0)))</f>
        <v>15.275031516363031</v>
      </c>
      <c r="AE37" s="119" t="str">
        <f>INDEX('Com Measure Mapping'!V:V,MATCH($C37,'Com Measure Mapping'!B:B,0))</f>
        <v>boiler pipe</v>
      </c>
      <c r="AF37" s="126">
        <f>AC37</f>
        <v>15</v>
      </c>
      <c r="AG37" s="126">
        <f>IFERROR(IF($D$2="Original",H37*AC37,H37*AF37),0)</f>
        <v>70645.193360391655</v>
      </c>
      <c r="AH37" s="133">
        <f>IF(ISERROR(AG37/AA37),0,AG37/AA37)</f>
        <v>0.22727860455474796</v>
      </c>
      <c r="AI37" s="133">
        <f>IF(AA37=0,0,(AG37+AB37)/AA37)</f>
        <v>0.46492118064948862</v>
      </c>
      <c r="AJ37" s="122">
        <f>IFERROR(IF($D$2="Original",IF($AG37=0,"-",(VLOOKUP($X37,AC,7)*$P37)/($AG37+$AB37)),IF($AG37=0,"-",(VLOOKUP($Z37,AC,7)*$P37)/($AG37+$AB37))),0)</f>
        <v>3.1704499390413448</v>
      </c>
      <c r="AK37" s="76"/>
      <c r="AL37" s="133">
        <f>IF(ISERROR(W37/AA37),0,W37/AA37)</f>
        <v>7.6215255762532227E-2</v>
      </c>
      <c r="AM37" s="133">
        <f>IF(AA37=0,0,(W37+AB37)/AA37)</f>
        <v>0.31385783185727284</v>
      </c>
      <c r="AN37" s="122">
        <f>IFERROR(IF($D$2="Original",IF($W37=0,"-",(VLOOKUP($X37,AC,5)*$P37)/(W37+AB37)),IF($W37=0,"-",(VLOOKUP($Z37,AC,5)*$P37)/(W37+AB37))),0)</f>
        <v>4.2694760007816894</v>
      </c>
    </row>
    <row r="38" spans="2:40" s="3" customFormat="1" ht="13.5" thickBot="1" x14ac:dyDescent="0.25">
      <c r="B38" s="163" t="s">
        <v>431</v>
      </c>
      <c r="C38" s="104" t="str">
        <f>E38&amp;"_"&amp;F38&amp;"_"&amp;G38</f>
        <v>Insulation - Pipe - 2.5"_2.5" Thick Pipe Insulation_Retrofit for T&gt;200F</v>
      </c>
      <c r="D38" s="1"/>
      <c r="E38" s="113" t="s">
        <v>147</v>
      </c>
      <c r="F38" s="113" t="s">
        <v>161</v>
      </c>
      <c r="G38" s="113" t="s">
        <v>162</v>
      </c>
      <c r="H38" s="118">
        <f>P38/N38</f>
        <v>30.294076701194204</v>
      </c>
      <c r="I38" s="177">
        <v>8.6665725875428336E-4</v>
      </c>
      <c r="J38" s="118">
        <v>12</v>
      </c>
      <c r="K38" s="116" t="s">
        <v>167</v>
      </c>
      <c r="L38" s="147">
        <f>IF(INDEX('Com Measure Mapping'!U:U,MATCH($C38,'Com Measure Mapping'!B:B,0))="N/A",J38,INDEX('Com Measure Mapping'!U:U,MATCH($C38,'Com Measure Mapping'!B:B,0)))</f>
        <v>346.13835024552628</v>
      </c>
      <c r="M38" s="147" t="str">
        <f>INDEX('Com Measure Mapping'!V:V,MATCH($C38,'Com Measure Mapping'!B:B,0))</f>
        <v>employee</v>
      </c>
      <c r="N38" s="118">
        <f>J38</f>
        <v>12</v>
      </c>
      <c r="O38" s="118">
        <f>H38</f>
        <v>30.294076701194204</v>
      </c>
      <c r="P38" s="118">
        <f>$P$72*I38</f>
        <v>363.52892041433046</v>
      </c>
      <c r="Q38" s="125">
        <v>18</v>
      </c>
      <c r="R38" s="145">
        <f>IF(INDEX('Com Measure Mapping'!W:W,MATCH($C38,'Com Measure Mapping'!B:B,0))="N/A",Q38,INDEX('Com Measure Mapping'!W:W,MATCH($C38,'Com Measure Mapping'!B:B,0)))</f>
        <v>2951.244444444445</v>
      </c>
      <c r="S38" s="125">
        <f>Q38</f>
        <v>18</v>
      </c>
      <c r="T38" s="125">
        <f>IFERROR(IF($D$2="Original",O38*Q38,O38*S38),0)</f>
        <v>545.29338062149566</v>
      </c>
      <c r="U38" s="125">
        <v>0</v>
      </c>
      <c r="V38" s="125">
        <f>IFERROR(IF($D$2="Original",PV($F$76,$X38,(-0.05*0.9*$J38)),PV($F$76,$Z38,(-0.05*0.9*$N38))),0)</f>
        <v>7.7446081152504478</v>
      </c>
      <c r="W38" s="125">
        <f>IFERROR(IF($D$2="Original",MAX(0,O38*(Q38-U38-V38)),MAX(0,O38*(S38-U38-V38))),0)</f>
        <v>310.67762835740757</v>
      </c>
      <c r="X38" s="116">
        <v>20</v>
      </c>
      <c r="Y38" s="146">
        <f>IF(INDEX('Com Measure Mapping'!X:X,MATCH($C38,'Com Measure Mapping'!B:B,0))="N/A",X38,INDEX('Com Measure Mapping'!X:X,MATCH($C38,'Com Measure Mapping'!B:B,0)))</f>
        <v>20</v>
      </c>
      <c r="Z38" s="118">
        <f>Y38</f>
        <v>20</v>
      </c>
      <c r="AA38" s="118">
        <f>IFERROR(IF($D$2="Original",PV($F$76,X38,-P38),PV($F$76,Z38,-P38)),0)</f>
        <v>5213.6833836464029</v>
      </c>
      <c r="AB38" s="125">
        <f>I38*$AB$72</f>
        <v>1238.9931502320749</v>
      </c>
      <c r="AC38" s="125">
        <v>25</v>
      </c>
      <c r="AD38" s="145">
        <f>IF(INDEX('Com Measure Mapping'!Y:Y,MATCH($C38,'Com Measure Mapping'!B:B,0))="N/A",AC38,INDEX('Com Measure Mapping'!Y:Y,MATCH($C38,'Com Measure Mapping'!B:B,0)))</f>
        <v>1475.6218611111112</v>
      </c>
      <c r="AE38" s="147" t="str">
        <f>INDEX('Com Measure Mapping'!V:V,MATCH($C38,'Com Measure Mapping'!B:B,0))</f>
        <v>employee</v>
      </c>
      <c r="AF38" s="125">
        <f>AC38</f>
        <v>25</v>
      </c>
      <c r="AG38" s="125">
        <f>IFERROR(IF($D$2="Original",H38*AC38,H38*AF38),0)</f>
        <v>757.35191752985509</v>
      </c>
      <c r="AH38" s="132">
        <f>IF(ISERROR(AG38/AA38),0,AG38/AA38)</f>
        <v>0.14526235327319972</v>
      </c>
      <c r="AI38" s="132">
        <f>IF(AA38=0,0,(AG38+AB38)/AA38)</f>
        <v>0.38290492936794029</v>
      </c>
      <c r="AJ38" s="121">
        <f>IFERROR(IF($D$2="Original",IF($AG38=0,"-",(VLOOKUP($X38,AC,7)*$P38)/($AG38+$AB38)),IF($AG38=0,"-",(VLOOKUP($Z38,AC,7)*$P38)/($AG38+$AB38))),0)</f>
        <v>3.8495438836014531</v>
      </c>
      <c r="AK38" s="76"/>
      <c r="AL38" s="132">
        <f>IF(ISERROR(W38/AA38),0,W38/AA38)</f>
        <v>5.9588894356703809E-2</v>
      </c>
      <c r="AM38" s="132">
        <f>IF(AA38=0,0,(W38+AB38)/AA38)</f>
        <v>0.29723147045144438</v>
      </c>
      <c r="AN38" s="121">
        <f>IFERROR(IF($D$2="Original",IF($W38=0,"-",(VLOOKUP($X38,AC,5)*$P38)/(W38+AB38)),IF($W38=0,"-",(VLOOKUP($Z38,AC,5)*$P38)/(W38+AB38))),0)</f>
        <v>4.5082994702302361</v>
      </c>
    </row>
    <row r="39" spans="2:40" s="3" customFormat="1" ht="13.5" thickBot="1" x14ac:dyDescent="0.25">
      <c r="B39" s="3">
        <v>20</v>
      </c>
      <c r="C39" s="104" t="str">
        <f>E39&amp;"_"&amp;F39&amp;"_"&amp;G39</f>
        <v>Insulation - Roof - Tier 1 - Min R-21_Roof Insulation_Tier 1 /  Minimum R-21</v>
      </c>
      <c r="D39" s="1"/>
      <c r="E39" s="114" t="s">
        <v>128</v>
      </c>
      <c r="F39" s="114" t="s">
        <v>123</v>
      </c>
      <c r="G39" s="114" t="s">
        <v>129</v>
      </c>
      <c r="H39" s="120">
        <f>P39/N39</f>
        <v>0</v>
      </c>
      <c r="I39" s="178">
        <v>0</v>
      </c>
      <c r="J39" s="120">
        <v>0.35</v>
      </c>
      <c r="K39" s="117" t="s">
        <v>118</v>
      </c>
      <c r="L39" s="119">
        <f>IF(INDEX('Com Measure Mapping'!U:U,MATCH($C39,'Com Measure Mapping'!B:B,0))="N/A",J39,INDEX('Com Measure Mapping'!U:U,MATCH($C39,'Com Measure Mapping'!B:B,0)))</f>
        <v>4.0099257457527848E-2</v>
      </c>
      <c r="M39" s="119" t="str">
        <f>INDEX('Com Measure Mapping'!V:V,MATCH($C39,'Com Measure Mapping'!B:B,0))</f>
        <v>sqft roof</v>
      </c>
      <c r="N39" s="120">
        <f>J39</f>
        <v>0.35</v>
      </c>
      <c r="O39" s="120">
        <f>H39</f>
        <v>0</v>
      </c>
      <c r="P39" s="120">
        <f>$P$72*I39</f>
        <v>0</v>
      </c>
      <c r="Q39" s="126">
        <v>1.83</v>
      </c>
      <c r="R39" s="131">
        <f>IF(INDEX('Com Measure Mapping'!W:W,MATCH($C39,'Com Measure Mapping'!B:B,0))="N/A",Q39,INDEX('Com Measure Mapping'!W:W,MATCH($C39,'Com Measure Mapping'!B:B,0)))</f>
        <v>0.47571428571428576</v>
      </c>
      <c r="S39" s="126">
        <f>Q39</f>
        <v>1.83</v>
      </c>
      <c r="T39" s="126">
        <f>IFERROR(IF($D$2="Original",O39*Q39,O39*S39),0)</f>
        <v>0</v>
      </c>
      <c r="U39" s="126">
        <v>0</v>
      </c>
      <c r="V39" s="126">
        <f>IFERROR(IF($D$2="Original",PV($F$76,$X39,(-0.05*0.9*$J39)),PV($F$76,$Z39,(-0.05*0.9*$N39))),0)</f>
        <v>0.29333838484702779</v>
      </c>
      <c r="W39" s="126">
        <f>IFERROR(IF($D$2="Original",MAX(0,O39*(Q39-U39-V39)),MAX(0,O39*(S39-U39-V39))),0)</f>
        <v>0</v>
      </c>
      <c r="X39" s="117">
        <v>30</v>
      </c>
      <c r="Y39" s="128">
        <f>IF(INDEX('Com Measure Mapping'!X:X,MATCH($C39,'Com Measure Mapping'!B:B,0))="N/A",X39,INDEX('Com Measure Mapping'!X:X,MATCH($C39,'Com Measure Mapping'!B:B,0)))</f>
        <v>45</v>
      </c>
      <c r="Z39" s="120">
        <f>X39</f>
        <v>30</v>
      </c>
      <c r="AA39" s="120">
        <f>IFERROR(IF($D$2="Original",PV($F$76,X39,-P39),PV($F$76,Z39,-P39)),0)</f>
        <v>0</v>
      </c>
      <c r="AB39" s="126">
        <f>I39*$AB$72</f>
        <v>0</v>
      </c>
      <c r="AC39" s="126">
        <v>2</v>
      </c>
      <c r="AD39" s="131">
        <f>IF(INDEX('Com Measure Mapping'!Y:Y,MATCH($C39,'Com Measure Mapping'!B:B,0))="N/A",AC39,INDEX('Com Measure Mapping'!Y:Y,MATCH($C39,'Com Measure Mapping'!B:B,0)))</f>
        <v>0.38627184244362267</v>
      </c>
      <c r="AE39" s="119" t="str">
        <f>INDEX('Com Measure Mapping'!V:V,MATCH($C39,'Com Measure Mapping'!B:B,0))</f>
        <v>sqft roof</v>
      </c>
      <c r="AF39" s="126">
        <v>0</v>
      </c>
      <c r="AG39" s="126">
        <f>IFERROR(IF($D$2="Original",H39*AC39,H39*AF39),0)</f>
        <v>0</v>
      </c>
      <c r="AH39" s="133">
        <f>IF(ISERROR(AG39/AA39),0,AG39/AA39)</f>
        <v>0</v>
      </c>
      <c r="AI39" s="133">
        <f>IF(AA39=0,0,(AG39+AB39)/AA39)</f>
        <v>0</v>
      </c>
      <c r="AJ39" s="122" t="str">
        <f>IFERROR(IF($D$2="Original",IF($AG39=0,"-",(VLOOKUP($X39,AC,7)*$P39)/($AG39+$AB39)),IF($AG39=0,"-",(VLOOKUP($Z39,AC,7)*$P39)/($AG39+$AB39))),0)</f>
        <v>-</v>
      </c>
      <c r="AK39" s="76"/>
      <c r="AL39" s="133">
        <f>IF(ISERROR(W39/AA39),0,W39/AA39)</f>
        <v>0</v>
      </c>
      <c r="AM39" s="133">
        <f>IF(AA39=0,0,(W39+AB39)/AA39)</f>
        <v>0</v>
      </c>
      <c r="AN39" s="122" t="str">
        <f>IFERROR(IF($D$2="Original",IF($W39=0,"-",(VLOOKUP($X39,AC,5)*$P39)/(W39+AB39)),IF($W39=0,"-",(VLOOKUP($Z39,AC,5)*$P39)/(W39+AB39))),0)</f>
        <v>-</v>
      </c>
    </row>
    <row r="40" spans="2:40" s="3" customFormat="1" ht="13.5" thickBot="1" x14ac:dyDescent="0.25">
      <c r="B40" s="163" t="s">
        <v>423</v>
      </c>
      <c r="C40" s="104" t="str">
        <f>E40&amp;"_"&amp;F40&amp;"_"&amp;G40</f>
        <v>Insulation - Roof - Tier 2 - Min R-30_Roof Insulation_Tier 2 /  Minimum R-30</v>
      </c>
      <c r="D40" s="1"/>
      <c r="E40" s="113" t="s">
        <v>122</v>
      </c>
      <c r="F40" s="113" t="s">
        <v>123</v>
      </c>
      <c r="G40" s="113" t="s">
        <v>124</v>
      </c>
      <c r="H40" s="118">
        <f>P40/N40</f>
        <v>97420.519842482259</v>
      </c>
      <c r="I40" s="177">
        <v>8.3610602995972477E-2</v>
      </c>
      <c r="J40" s="118">
        <v>0.36</v>
      </c>
      <c r="K40" s="116" t="s">
        <v>118</v>
      </c>
      <c r="L40" s="147">
        <f>IF(INDEX('Com Measure Mapping'!U:U,MATCH($C40,'Com Measure Mapping'!B:B,0))="N/A",J40,INDEX('Com Measure Mapping'!U:U,MATCH($C40,'Com Measure Mapping'!B:B,0)))</f>
        <v>5.7284653510754076E-2</v>
      </c>
      <c r="M40" s="147" t="str">
        <f>INDEX('Com Measure Mapping'!V:V,MATCH($C40,'Com Measure Mapping'!B:B,0))</f>
        <v>sqft roof</v>
      </c>
      <c r="N40" s="118">
        <f>J40</f>
        <v>0.36</v>
      </c>
      <c r="O40" s="118">
        <f>H40</f>
        <v>97420.519842482259</v>
      </c>
      <c r="P40" s="118">
        <f>$P$72*I40</f>
        <v>35071.387143293614</v>
      </c>
      <c r="Q40" s="125">
        <v>2.15</v>
      </c>
      <c r="R40" s="145">
        <f>IF(INDEX('Com Measure Mapping'!W:W,MATCH($C40,'Com Measure Mapping'!B:B,0))="N/A",Q40,INDEX('Com Measure Mapping'!W:W,MATCH($C40,'Com Measure Mapping'!B:B,0)))</f>
        <v>0.67959183673469392</v>
      </c>
      <c r="S40" s="125">
        <f>Q40</f>
        <v>2.15</v>
      </c>
      <c r="T40" s="125">
        <f>IFERROR(IF($D$2="Original",O40*Q40,O40*S40),0)</f>
        <v>209454.11766133684</v>
      </c>
      <c r="U40" s="125">
        <v>0</v>
      </c>
      <c r="V40" s="125">
        <f>IFERROR(IF($D$2="Original",PV($F$76,$X40,(-0.05*0.9*$J40)),PV($F$76,$Z40,(-0.05*0.9*$N40))),0)</f>
        <v>0.30171948155694289</v>
      </c>
      <c r="W40" s="125">
        <f>IFERROR(IF($D$2="Original",MAX(0,O40*(Q40-U40-V40)),MAX(0,O40*(S40-U40-V40))),0)</f>
        <v>180060.44892145524</v>
      </c>
      <c r="X40" s="116">
        <v>30</v>
      </c>
      <c r="Y40" s="146">
        <f>IF(INDEX('Com Measure Mapping'!X:X,MATCH($C40,'Com Measure Mapping'!B:B,0))="N/A",X40,INDEX('Com Measure Mapping'!X:X,MATCH($C40,'Com Measure Mapping'!B:B,0)))</f>
        <v>45</v>
      </c>
      <c r="Z40" s="118">
        <f>X40</f>
        <v>30</v>
      </c>
      <c r="AA40" s="118">
        <f>IFERROR(IF($D$2="Original",PV($F$76,X40,-P40),PV($F$76,Z40,-P40)),0)</f>
        <v>653192.63866403583</v>
      </c>
      <c r="AB40" s="125">
        <f>I40*$AB$72</f>
        <v>119531.64108691116</v>
      </c>
      <c r="AC40" s="125">
        <v>2.5</v>
      </c>
      <c r="AD40" s="145">
        <f>IF(INDEX('Com Measure Mapping'!Y:Y,MATCH($C40,'Com Measure Mapping'!B:B,0))="N/A",AC40,INDEX('Com Measure Mapping'!Y:Y,MATCH($C40,'Com Measure Mapping'!B:B,0)))</f>
        <v>0.55181691777660391</v>
      </c>
      <c r="AE40" s="147" t="str">
        <f>INDEX('Com Measure Mapping'!V:V,MATCH($C40,'Com Measure Mapping'!B:B,0))</f>
        <v>sqft roof</v>
      </c>
      <c r="AF40" s="125">
        <v>2</v>
      </c>
      <c r="AG40" s="125">
        <f>IFERROR(IF($D$2="Original",H40*AC40,H40*AF40),0)</f>
        <v>194841.03968496452</v>
      </c>
      <c r="AH40" s="132">
        <f>IF(ISERROR(AG40/AA40),0,AG40/AA40)</f>
        <v>0.29829031766718883</v>
      </c>
      <c r="AI40" s="132">
        <f>IF(AA40=0,0,(AG40+AB40)/AA40)</f>
        <v>0.48128631917049303</v>
      </c>
      <c r="AJ40" s="121">
        <f>IFERROR(IF($D$2="Original",IF($AG40=0,"-",(VLOOKUP($X40,AC,7)*$P40)/($AG40+$AB40)),IF($AG40=0,"-",(VLOOKUP($Z40,AC,7)*$P40)/($AG40+$AB40))),0)</f>
        <v>3.8887020498980127</v>
      </c>
      <c r="AK40" s="76"/>
      <c r="AL40" s="132">
        <f>IF(ISERROR(W40/AA40),0,W40/AA40)</f>
        <v>0.27566209149222798</v>
      </c>
      <c r="AM40" s="132">
        <f>IF(AA40=0,0,(W40+AB40)/AA40)</f>
        <v>0.45865809299553217</v>
      </c>
      <c r="AN40" s="121">
        <f>IFERROR(IF($D$2="Original",IF($W40=0,"-",(VLOOKUP($X40,AC,5)*$P40)/(W40+AB40)),IF($W40=0,"-",(VLOOKUP($Z40,AC,5)*$P40)/(W40+AB40))),0)</f>
        <v>3.7095945056960211</v>
      </c>
    </row>
    <row r="41" spans="2:40" s="3" customFormat="1" ht="13.5" thickBot="1" x14ac:dyDescent="0.25">
      <c r="B41" s="3">
        <v>21</v>
      </c>
      <c r="C41" s="104" t="str">
        <f>E41&amp;"_"&amp;F41&amp;"_"&amp;G41</f>
        <v>Insulation - Wall - Tier 1 - Min R-11_Wall Insulation_Tier 1 / Minimum R-11</v>
      </c>
      <c r="D41" s="1"/>
      <c r="E41" s="114" t="s">
        <v>119</v>
      </c>
      <c r="F41" s="114" t="s">
        <v>120</v>
      </c>
      <c r="G41" s="114" t="s">
        <v>121</v>
      </c>
      <c r="H41" s="120">
        <v>0</v>
      </c>
      <c r="I41" s="178">
        <v>0</v>
      </c>
      <c r="J41" s="120">
        <v>0.16</v>
      </c>
      <c r="K41" s="117" t="s">
        <v>118</v>
      </c>
      <c r="L41" s="119">
        <f>IF(INDEX('Com Measure Mapping'!U:U,MATCH($C41,'Com Measure Mapping'!B:B,0))="N/A",J41,INDEX('Com Measure Mapping'!U:U,MATCH($C41,'Com Measure Mapping'!B:B,0)))</f>
        <v>5.7226097998990873E-2</v>
      </c>
      <c r="M41" s="119" t="str">
        <f>INDEX('Com Measure Mapping'!V:V,MATCH($C41,'Com Measure Mapping'!B:B,0))</f>
        <v>sqft wall</v>
      </c>
      <c r="N41" s="120">
        <v>0</v>
      </c>
      <c r="O41" s="120">
        <f>H41</f>
        <v>0</v>
      </c>
      <c r="P41" s="120">
        <f>$P$72*I41</f>
        <v>0</v>
      </c>
      <c r="Q41" s="126">
        <v>1.5</v>
      </c>
      <c r="R41" s="131">
        <f>IF(INDEX('Com Measure Mapping'!W:W,MATCH($C41,'Com Measure Mapping'!B:B,0))="N/A",Q41,INDEX('Com Measure Mapping'!W:W,MATCH($C41,'Com Measure Mapping'!B:B,0)))</f>
        <v>0.91142857142857148</v>
      </c>
      <c r="S41" s="126">
        <v>0</v>
      </c>
      <c r="T41" s="126">
        <f>IFERROR(IF($D$2="Original",O41*Q41,O41*S41),0)</f>
        <v>0</v>
      </c>
      <c r="U41" s="126">
        <v>0</v>
      </c>
      <c r="V41" s="126">
        <f>IFERROR(IF($D$2="Original",PV($F$76,$X41,(-0.05*0.9*$J41)),PV($F$76,$Z41,(-0.05*0.9*$N41))),0)</f>
        <v>0</v>
      </c>
      <c r="W41" s="126">
        <f>IFERROR(IF($D$2="Original",MAX(0,O41*(Q41-U41-V41)),MAX(0,O41*(S41-U41-V41))),0)</f>
        <v>0</v>
      </c>
      <c r="X41" s="117">
        <v>30</v>
      </c>
      <c r="Y41" s="128">
        <f>IF(INDEX('Com Measure Mapping'!X:X,MATCH($C41,'Com Measure Mapping'!B:B,0))="N/A",X41,INDEX('Com Measure Mapping'!X:X,MATCH($C41,'Com Measure Mapping'!B:B,0)))</f>
        <v>45</v>
      </c>
      <c r="Z41" s="120">
        <f>X41</f>
        <v>30</v>
      </c>
      <c r="AA41" s="120">
        <f>IFERROR(IF($D$2="Original",PV($F$76,X41,-P41),PV($F$76,Z41,-P41)),0)</f>
        <v>0</v>
      </c>
      <c r="AB41" s="126">
        <f>I41*$AB$72</f>
        <v>0</v>
      </c>
      <c r="AC41" s="126">
        <v>1.25</v>
      </c>
      <c r="AD41" s="131">
        <f>IF(INDEX('Com Measure Mapping'!Y:Y,MATCH($C41,'Com Measure Mapping'!B:B,0))="N/A",AC41,INDEX('Com Measure Mapping'!Y:Y,MATCH($C41,'Com Measure Mapping'!B:B,0)))</f>
        <v>0.47209253813884161</v>
      </c>
      <c r="AE41" s="119" t="str">
        <f>INDEX('Com Measure Mapping'!V:V,MATCH($C41,'Com Measure Mapping'!B:B,0))</f>
        <v>sqft wall</v>
      </c>
      <c r="AF41" s="126">
        <v>0</v>
      </c>
      <c r="AG41" s="126">
        <f>IFERROR(IF($D$2="Original",H41*AC41,H41*AF41),0)</f>
        <v>0</v>
      </c>
      <c r="AH41" s="133">
        <f>IF(ISERROR(AG41/AA41),0,AG41/AA41)</f>
        <v>0</v>
      </c>
      <c r="AI41" s="133">
        <f>IF(AA41=0,0,(AG41+AB41)/AA41)</f>
        <v>0</v>
      </c>
      <c r="AJ41" s="122" t="str">
        <f>IFERROR(IF($D$2="Original",IF($AG41=0,"-",(VLOOKUP($X41,AC,7)*$P41)/($AG41+$AB41)),IF($AG41=0,"-",(VLOOKUP($Z41,AC,7)*$P41)/($AG41+$AB41))),0)</f>
        <v>-</v>
      </c>
      <c r="AK41" s="76"/>
      <c r="AL41" s="133">
        <f>IF(ISERROR(W41/AA41),0,W41/AA41)</f>
        <v>0</v>
      </c>
      <c r="AM41" s="133">
        <f>IF(AA41=0,0,(W41+AB41)/AA41)</f>
        <v>0</v>
      </c>
      <c r="AN41" s="122" t="str">
        <f>IFERROR(IF($D$2="Original",IF($W41=0,"-",(VLOOKUP($X41,AC,5)*$P41)/(W41+AB41)),IF($W41=0,"-",(VLOOKUP($Z41,AC,5)*$P41)/(W41+AB41))),0)</f>
        <v>-</v>
      </c>
    </row>
    <row r="42" spans="2:40" s="3" customFormat="1" ht="13.5" thickBot="1" x14ac:dyDescent="0.25">
      <c r="B42" s="163" t="s">
        <v>424</v>
      </c>
      <c r="C42" s="104" t="str">
        <f>E42&amp;"_"&amp;F42&amp;"_"&amp;G42</f>
        <v>Insulation - Wall - Tier 2 - Min R-19_Wall Insulation_Tier 2 /  Minimum R-19</v>
      </c>
      <c r="D42" s="1"/>
      <c r="E42" s="113" t="s">
        <v>125</v>
      </c>
      <c r="F42" s="113" t="s">
        <v>120</v>
      </c>
      <c r="G42" s="113" t="s">
        <v>126</v>
      </c>
      <c r="H42" s="118">
        <f>P42/N42</f>
        <v>91292.690790306384</v>
      </c>
      <c r="I42" s="177">
        <v>4.1352142988640692E-2</v>
      </c>
      <c r="J42" s="118">
        <v>0.19</v>
      </c>
      <c r="K42" s="116" t="s">
        <v>127</v>
      </c>
      <c r="L42" s="147">
        <f>IF(INDEX('Com Measure Mapping'!U:U,MATCH($C42,'Com Measure Mapping'!B:B,0))="N/A",J42,INDEX('Com Measure Mapping'!U:U,MATCH($C42,'Com Measure Mapping'!B:B,0)))</f>
        <v>9.8845078361893324E-2</v>
      </c>
      <c r="M42" s="147" t="str">
        <f>INDEX('Com Measure Mapping'!V:V,MATCH($C42,'Com Measure Mapping'!B:B,0))</f>
        <v>sqft wall</v>
      </c>
      <c r="N42" s="118">
        <f>J42</f>
        <v>0.19</v>
      </c>
      <c r="O42" s="118">
        <f>H42</f>
        <v>91292.690790306384</v>
      </c>
      <c r="P42" s="118">
        <f>$P$72*I42</f>
        <v>17345.611250158214</v>
      </c>
      <c r="Q42" s="125">
        <v>1.7</v>
      </c>
      <c r="R42" s="145">
        <f>IF(INDEX('Com Measure Mapping'!W:W,MATCH($C42,'Com Measure Mapping'!B:B,0))="N/A",Q42,INDEX('Com Measure Mapping'!W:W,MATCH($C42,'Com Measure Mapping'!B:B,0)))</f>
        <v>1.5742857142857143</v>
      </c>
      <c r="S42" s="125">
        <f>Q42</f>
        <v>1.7</v>
      </c>
      <c r="T42" s="125">
        <f>IFERROR(IF($D$2="Original",O42*Q42,O42*S42),0)</f>
        <v>155197.57434352086</v>
      </c>
      <c r="U42" s="125">
        <v>0</v>
      </c>
      <c r="V42" s="125">
        <f>IFERROR(IF($D$2="Original",PV($F$76,$X42,(-0.05*0.9*$J42)),PV($F$76,$Z42,(-0.05*0.9*$N42))),0)</f>
        <v>0.15924083748838649</v>
      </c>
      <c r="W42" s="125">
        <f>IFERROR(IF($D$2="Original",MAX(0,O42*(Q42-U42-V42)),MAX(0,O42*(S42-U42-V42))),0)</f>
        <v>140660.04980550415</v>
      </c>
      <c r="X42" s="116">
        <v>30</v>
      </c>
      <c r="Y42" s="146">
        <f>IF(INDEX('Com Measure Mapping'!X:X,MATCH($C42,'Com Measure Mapping'!B:B,0))="N/A",X42,INDEX('Com Measure Mapping'!X:X,MATCH($C42,'Com Measure Mapping'!B:B,0)))</f>
        <v>45</v>
      </c>
      <c r="Z42" s="118">
        <f>X42</f>
        <v>30</v>
      </c>
      <c r="AA42" s="118">
        <f>IFERROR(IF($D$2="Original",PV($F$76,X42,-P42),PV($F$76,Z42,-P42)),0)</f>
        <v>323056.10084481555</v>
      </c>
      <c r="AB42" s="125">
        <f>I42*$AB$72</f>
        <v>59117.974715849472</v>
      </c>
      <c r="AC42" s="125">
        <v>1.5</v>
      </c>
      <c r="AD42" s="145">
        <f>IF(INDEX('Com Measure Mapping'!Y:Y,MATCH($C42,'Com Measure Mapping'!B:B,0))="N/A",AC42,INDEX('Com Measure Mapping'!Y:Y,MATCH($C42,'Com Measure Mapping'!B:B,0)))</f>
        <v>0.81543256587618085</v>
      </c>
      <c r="AE42" s="147" t="str">
        <f>INDEX('Com Measure Mapping'!V:V,MATCH($C42,'Com Measure Mapping'!B:B,0))</f>
        <v>sqft wall</v>
      </c>
      <c r="AF42" s="125">
        <v>2</v>
      </c>
      <c r="AG42" s="125">
        <f>IFERROR(IF($D$2="Original",H42*AC42,H42*AF42),0)</f>
        <v>182585.38158061277</v>
      </c>
      <c r="AH42" s="132">
        <f>IF(ISERROR(AG42/AA42),0,AG42/AA42)</f>
        <v>0.56518165452730507</v>
      </c>
      <c r="AI42" s="132">
        <f>IF(AA42=0,0,(AG42+AB42)/AA42)</f>
        <v>0.74817765603060926</v>
      </c>
      <c r="AJ42" s="121">
        <f>IFERROR(IF($D$2="Original",IF($AG42=0,"-",(VLOOKUP($X42,AC,7)*$P42)/($AG42+$AB42)),IF($AG42=0,"-",(VLOOKUP($Z42,AC,7)*$P42)/($AG42+$AB42))),0)</f>
        <v>2.5015169603910161</v>
      </c>
      <c r="AK42" s="76"/>
      <c r="AL42" s="132">
        <f>IF(ISERROR(W42/AA42),0,W42/AA42)</f>
        <v>0.43540440634820932</v>
      </c>
      <c r="AM42" s="132">
        <f>IF(AA42=0,0,(W42+AB42)/AA42)</f>
        <v>0.61840040785151351</v>
      </c>
      <c r="AN42" s="121">
        <f>IFERROR(IF($D$2="Original",IF($W42=0,"-",(VLOOKUP($X42,AC,5)*$P42)/(W42+AB42)),IF($W42=0,"-",(VLOOKUP($Z42,AC,5)*$P42)/(W42+AB42))),0)</f>
        <v>2.751349320225188</v>
      </c>
    </row>
    <row r="43" spans="2:40" s="3" customFormat="1" ht="13.5" thickBot="1" x14ac:dyDescent="0.25">
      <c r="B43" s="3">
        <v>10</v>
      </c>
      <c r="C43" s="104" t="str">
        <f>E43&amp;"_"&amp;F43&amp;"_"&amp;G43</f>
        <v>Low Temp Door Dishwasher_Energy Star_&lt;=.6kW Idle Rate, &lt;= 1.18 gal/rack</v>
      </c>
      <c r="D43" s="1"/>
      <c r="E43" s="114" t="s">
        <v>87</v>
      </c>
      <c r="F43" s="114" t="s">
        <v>15</v>
      </c>
      <c r="G43" s="114" t="s">
        <v>88</v>
      </c>
      <c r="H43" s="120">
        <v>0</v>
      </c>
      <c r="I43" s="178">
        <v>0</v>
      </c>
      <c r="J43" s="120">
        <v>448</v>
      </c>
      <c r="K43" s="117" t="s">
        <v>47</v>
      </c>
      <c r="L43" s="119">
        <f>IF(INDEX('Com Measure Mapping'!U:U,MATCH($C43,'Com Measure Mapping'!B:B,0))="N/A",J43,INDEX('Com Measure Mapping'!U:U,MATCH($C43,'Com Measure Mapping'!B:B,0)))</f>
        <v>244.77777777777777</v>
      </c>
      <c r="M43" s="119" t="str">
        <f>INDEX('Com Measure Mapping'!V:V,MATCH($C43,'Com Measure Mapping'!B:B,0))</f>
        <v>perBldg</v>
      </c>
      <c r="N43" s="120">
        <v>0</v>
      </c>
      <c r="O43" s="120">
        <f>H43</f>
        <v>0</v>
      </c>
      <c r="P43" s="120">
        <f>$P$72*I43</f>
        <v>0</v>
      </c>
      <c r="Q43" s="126">
        <v>1800</v>
      </c>
      <c r="R43" s="131">
        <f>IF(INDEX('Com Measure Mapping'!W:W,MATCH($C43,'Com Measure Mapping'!B:B,0))="N/A",Q43,INDEX('Com Measure Mapping'!W:W,MATCH($C43,'Com Measure Mapping'!B:B,0)))</f>
        <v>453.67333333333335</v>
      </c>
      <c r="S43" s="126">
        <v>0</v>
      </c>
      <c r="T43" s="126">
        <f>IFERROR(IF($D$2="Original",O43*Q43,O43*S43),0)</f>
        <v>0</v>
      </c>
      <c r="U43" s="126">
        <v>0</v>
      </c>
      <c r="V43" s="126">
        <f>IFERROR(IF($D$2="Original",PV($F$76,$X43,(-0.05*0.9*$J43))+PV($F$76,$X43,-4500/1000*10),PV($F$76,$Z43,(-0.05*0.9*$N43))+PV($F$76,$Z43,-4500/1000*10)),0)</f>
        <v>0</v>
      </c>
      <c r="W43" s="126">
        <f>IFERROR(IF($D$2="Original",MAX(0,O43*(Q43-U43-V43)),MAX(0,O43*(S43-U43-V43))),0)</f>
        <v>0</v>
      </c>
      <c r="X43" s="117">
        <v>12</v>
      </c>
      <c r="Y43" s="128">
        <f>IF(INDEX('Com Measure Mapping'!X:X,MATCH($C43,'Com Measure Mapping'!B:B,0))="N/A",X43,INDEX('Com Measure Mapping'!X:X,MATCH($C43,'Com Measure Mapping'!B:B,0)))</f>
        <v>12.222222222222221</v>
      </c>
      <c r="Z43" s="120">
        <v>0</v>
      </c>
      <c r="AA43" s="120">
        <f>IFERROR(IF($D$2="Original",PV($F$76,X43,-P43),PV($F$76,Z43,-P43)),0)</f>
        <v>0</v>
      </c>
      <c r="AB43" s="126">
        <f>I43*$AB$72</f>
        <v>0</v>
      </c>
      <c r="AC43" s="126">
        <v>800</v>
      </c>
      <c r="AD43" s="131">
        <f>IF(INDEX('Com Measure Mapping'!Y:Y,MATCH($C43,'Com Measure Mapping'!B:B,0))="N/A",AC43,INDEX('Com Measure Mapping'!Y:Y,MATCH($C43,'Com Measure Mapping'!B:B,0)))</f>
        <v>453.67439999999999</v>
      </c>
      <c r="AE43" s="119" t="str">
        <f>INDEX('Com Measure Mapping'!V:V,MATCH($C43,'Com Measure Mapping'!B:B,0))</f>
        <v>perBldg</v>
      </c>
      <c r="AF43" s="126">
        <v>0</v>
      </c>
      <c r="AG43" s="126">
        <f>IFERROR(IF($D$2="Original",H43*AC43,H43*AF43),0)</f>
        <v>0</v>
      </c>
      <c r="AH43" s="133">
        <f>IF(ISERROR(AG43/AA43),0,AG43/AA43)</f>
        <v>0</v>
      </c>
      <c r="AI43" s="133">
        <f>IF(AA43=0,0,(AG43+AB43)/AA43)</f>
        <v>0</v>
      </c>
      <c r="AJ43" s="122" t="str">
        <f>IFERROR(IF($D$2="Original",IF($AG43=0,"-",(VLOOKUP($X43,AC,7)*$P43)/($AG43+$AB43)),IF($AG43=0,"-",(VLOOKUP($Z43,AC,7)*$P43)/($AG43+$AB43))),0)</f>
        <v>-</v>
      </c>
      <c r="AK43" s="76"/>
      <c r="AL43" s="133">
        <f>IF(ISERROR(W43/AA43),0,W43/AA43)</f>
        <v>0</v>
      </c>
      <c r="AM43" s="133">
        <f>IF(AA43=0,0,(W43+AB43)/AA43)</f>
        <v>0</v>
      </c>
      <c r="AN43" s="122" t="str">
        <f>IFERROR(IF($D$2="Original",IF($W43=0,"-",(VLOOKUP($X43,AC,5)*$P43)/(W43+AB43)),IF($W43=0,"-",(VLOOKUP($Z43,AC,5)*$P43)/(W43+AB43))),0)</f>
        <v>-</v>
      </c>
    </row>
    <row r="44" spans="2:40" s="3" customFormat="1" ht="13.5" thickBot="1" x14ac:dyDescent="0.25">
      <c r="B44" s="3">
        <v>23</v>
      </c>
      <c r="C44" s="104" t="str">
        <f>E44&amp;"_"&amp;F44&amp;"_"&amp;G44</f>
        <v>Low Temp Multi Tank Dishwasher_Energy Star_&lt;=2kW Idle Rate, &lt;=.50 gal/rack</v>
      </c>
      <c r="D44" s="1"/>
      <c r="E44" s="113" t="s">
        <v>148</v>
      </c>
      <c r="F44" s="113" t="s">
        <v>15</v>
      </c>
      <c r="G44" s="113" t="s">
        <v>163</v>
      </c>
      <c r="H44" s="118">
        <v>0</v>
      </c>
      <c r="I44" s="177">
        <v>0</v>
      </c>
      <c r="J44" s="118">
        <v>645</v>
      </c>
      <c r="K44" s="116" t="s">
        <v>47</v>
      </c>
      <c r="L44" s="147">
        <f>IF(INDEX('Com Measure Mapping'!U:U,MATCH($C44,'Com Measure Mapping'!B:B,0))="N/A",J44,INDEX('Com Measure Mapping'!U:U,MATCH($C44,'Com Measure Mapping'!B:B,0)))</f>
        <v>244.77777777777777</v>
      </c>
      <c r="M44" s="147" t="str">
        <f>INDEX('Com Measure Mapping'!V:V,MATCH($C44,'Com Measure Mapping'!B:B,0))</f>
        <v>perBldg</v>
      </c>
      <c r="N44" s="118">
        <v>0</v>
      </c>
      <c r="O44" s="118">
        <f>H44</f>
        <v>0</v>
      </c>
      <c r="P44" s="118">
        <f>$P$72*I44</f>
        <v>0</v>
      </c>
      <c r="Q44" s="125">
        <v>4000</v>
      </c>
      <c r="R44" s="145">
        <f>IF(INDEX('Com Measure Mapping'!W:W,MATCH($C44,'Com Measure Mapping'!B:B,0))="N/A",Q44,INDEX('Com Measure Mapping'!W:W,MATCH($C44,'Com Measure Mapping'!B:B,0)))</f>
        <v>453.67333333333335</v>
      </c>
      <c r="S44" s="125">
        <v>0</v>
      </c>
      <c r="T44" s="125">
        <f>IFERROR(IF($D$2="Original",O44*Q44,O44*S44),0)</f>
        <v>0</v>
      </c>
      <c r="U44" s="125">
        <v>0</v>
      </c>
      <c r="V44" s="125">
        <f>IFERROR(IF($D$2="Original",PV($F$76,$X44,(-0.05*0.9*$J44))+PV($F$76,$X44,-9),PV($F$76,$Z44,(-0.05*0.9*$N44))+PV($F$76,$Z44,-9)),0)</f>
        <v>0</v>
      </c>
      <c r="W44" s="125">
        <f>IFERROR(IF($D$2="Original",MAX(0,O44*(Q44-U44-V44)),MAX(0,O44*(S44-U44-V44))),0)</f>
        <v>0</v>
      </c>
      <c r="X44" s="116">
        <v>20</v>
      </c>
      <c r="Y44" s="146">
        <f>IF(INDEX('Com Measure Mapping'!X:X,MATCH($C44,'Com Measure Mapping'!B:B,0))="N/A",X44,INDEX('Com Measure Mapping'!X:X,MATCH($C44,'Com Measure Mapping'!B:B,0)))</f>
        <v>12.222222222222221</v>
      </c>
      <c r="Z44" s="118">
        <v>0</v>
      </c>
      <c r="AA44" s="118">
        <f>IFERROR(IF($D$2="Original",PV($F$76,X44,-P44),PV($F$76,Z44,-P44)),0)</f>
        <v>0</v>
      </c>
      <c r="AB44" s="125">
        <f>I44*$AB$72</f>
        <v>0</v>
      </c>
      <c r="AC44" s="125">
        <v>2500</v>
      </c>
      <c r="AD44" s="145">
        <f>IF(INDEX('Com Measure Mapping'!Y:Y,MATCH($C44,'Com Measure Mapping'!B:B,0))="N/A",AC44,INDEX('Com Measure Mapping'!Y:Y,MATCH($C44,'Com Measure Mapping'!B:B,0)))</f>
        <v>453.67439999999999</v>
      </c>
      <c r="AE44" s="147" t="str">
        <f>INDEX('Com Measure Mapping'!V:V,MATCH($C44,'Com Measure Mapping'!B:B,0))</f>
        <v>perBldg</v>
      </c>
      <c r="AF44" s="125">
        <v>0</v>
      </c>
      <c r="AG44" s="125">
        <f>IFERROR(IF($D$2="Original",H44*AC44,H44*AF44),0)</f>
        <v>0</v>
      </c>
      <c r="AH44" s="132">
        <f>IF(ISERROR(AG44/AA44),0,AG44/AA44)</f>
        <v>0</v>
      </c>
      <c r="AI44" s="132">
        <f>IF(AA44=0,0,(AG44+AB44)/AA44)</f>
        <v>0</v>
      </c>
      <c r="AJ44" s="121" t="str">
        <f>IFERROR(IF($D$2="Original",IF($AG44=0,"-",(VLOOKUP($X44,AC,7)*$P44)/($AG44+$AB44)),IF($AG44=0,"-",(VLOOKUP($Z44,AC,7)*$P44)/($AG44+$AB44))),0)</f>
        <v>-</v>
      </c>
      <c r="AK44" s="76"/>
      <c r="AL44" s="132">
        <f>IF(ISERROR(W44/AA44),0,W44/AA44)</f>
        <v>0</v>
      </c>
      <c r="AM44" s="132">
        <f>IF(AA44=0,0,(W44+AB44)/AA44)</f>
        <v>0</v>
      </c>
      <c r="AN44" s="121" t="str">
        <f>IFERROR(IF($D$2="Original",IF($W44=0,"-",(VLOOKUP($X44,AC,5)*$P44)/(W44+AB44)),IF($W44=0,"-",(VLOOKUP($Z44,AC,5)*$P44)/(W44+AB44))),0)</f>
        <v>-</v>
      </c>
    </row>
    <row r="45" spans="2:40" s="3" customFormat="1" ht="13.5" thickBot="1" x14ac:dyDescent="0.25">
      <c r="B45" s="3">
        <v>22</v>
      </c>
      <c r="C45" s="104" t="str">
        <f>E45&amp;"_"&amp;F45&amp;"_"&amp;G45</f>
        <v>Motion Faucet Controls_Motion Controlled Faucet_&lt;= 1.8 gpm, Watersense Certified</v>
      </c>
      <c r="D45" s="1"/>
      <c r="E45" s="114" t="s">
        <v>76</v>
      </c>
      <c r="F45" s="114" t="s">
        <v>77</v>
      </c>
      <c r="G45" s="114" t="s">
        <v>55</v>
      </c>
      <c r="H45" s="120">
        <v>0</v>
      </c>
      <c r="I45" s="178">
        <v>0</v>
      </c>
      <c r="J45" s="120">
        <v>136</v>
      </c>
      <c r="K45" s="117" t="s">
        <v>78</v>
      </c>
      <c r="L45" s="119">
        <f>IF(INDEX('Com Measure Mapping'!U:U,MATCH($C45,'Com Measure Mapping'!B:B,0))="N/A",J45,INDEX('Com Measure Mapping'!U:U,MATCH($C45,'Com Measure Mapping'!B:B,0)))</f>
        <v>0</v>
      </c>
      <c r="M45" s="119" t="str">
        <f>INDEX('Com Measure Mapping'!V:V,MATCH($C45,'Com Measure Mapping'!B:B,0))</f>
        <v>perBldg</v>
      </c>
      <c r="N45" s="120">
        <f>L45</f>
        <v>0</v>
      </c>
      <c r="O45" s="120">
        <f>H45</f>
        <v>0</v>
      </c>
      <c r="P45" s="120">
        <f>$P$72*I45</f>
        <v>0</v>
      </c>
      <c r="Q45" s="126">
        <v>315</v>
      </c>
      <c r="R45" s="131">
        <f>IF(INDEX('Com Measure Mapping'!W:W,MATCH($C45,'Com Measure Mapping'!B:B,0))="N/A",Q45,INDEX('Com Measure Mapping'!W:W,MATCH($C45,'Com Measure Mapping'!B:B,0)))</f>
        <v>0</v>
      </c>
      <c r="S45" s="126">
        <f>R45</f>
        <v>0</v>
      </c>
      <c r="T45" s="126">
        <f>IFERROR(IF($D$2="Original",O45*Q45,O45*S45),0)</f>
        <v>0</v>
      </c>
      <c r="U45" s="126">
        <v>0</v>
      </c>
      <c r="V45" s="126">
        <f>IFERROR(IF($D$2="Original",PV($F$76,$X45,(-0.05*0.9*$J45))+PV($F$76,$X45,-850/1000*10),PV($F$76,$Z45,(-0.05*0.9*$N45))+PV($F$76,$Z45,-850/1000*10)),0)</f>
        <v>0</v>
      </c>
      <c r="W45" s="126">
        <f>IFERROR(IF($D$2="Original",MAX(0,O45*(Q45-U45-V45)),MAX(0,O45*(S45-U45-V45))),0)</f>
        <v>0</v>
      </c>
      <c r="X45" s="117">
        <v>5</v>
      </c>
      <c r="Y45" s="128">
        <f>IF(INDEX('Com Measure Mapping'!X:X,MATCH($C45,'Com Measure Mapping'!B:B,0))="N/A",X45,INDEX('Com Measure Mapping'!X:X,MATCH($C45,'Com Measure Mapping'!B:B,0)))</f>
        <v>5</v>
      </c>
      <c r="Z45" s="120">
        <v>0</v>
      </c>
      <c r="AA45" s="120">
        <f>IFERROR(IF($D$2="Original",PV($F$76,X45,-P45),PV($F$76,Z45,-P45)),0)</f>
        <v>0</v>
      </c>
      <c r="AB45" s="126">
        <f>I45*$AB$72</f>
        <v>0</v>
      </c>
      <c r="AC45" s="126">
        <v>105</v>
      </c>
      <c r="AD45" s="131">
        <f>IF(INDEX('Com Measure Mapping'!Y:Y,MATCH($C45,'Com Measure Mapping'!B:B,0))="N/A",AC45,INDEX('Com Measure Mapping'!Y:Y,MATCH($C45,'Com Measure Mapping'!B:B,0)))</f>
        <v>0</v>
      </c>
      <c r="AE45" s="119" t="str">
        <f>INDEX('Com Measure Mapping'!V:V,MATCH($C45,'Com Measure Mapping'!B:B,0))</f>
        <v>perBldg</v>
      </c>
      <c r="AF45" s="126">
        <f>AD45</f>
        <v>0</v>
      </c>
      <c r="AG45" s="126">
        <f>IFERROR(IF($D$2="Original",H45*AC45,H45*AF45),0)</f>
        <v>0</v>
      </c>
      <c r="AH45" s="133">
        <f>IF(ISERROR(AG45/AA45),0,AG45/AA45)</f>
        <v>0</v>
      </c>
      <c r="AI45" s="133">
        <f>IF(AA45=0,0,(AG45+AB45)/AA45)</f>
        <v>0</v>
      </c>
      <c r="AJ45" s="122" t="str">
        <f>IFERROR(IF($D$2="Original",IF($AG45=0,"-",(VLOOKUP($X45,AC,7)*$P45)/($AG45+$AB45)),IF($AG45=0,"-",(VLOOKUP($Z45,AC,7)*$P45)/($AG45+$AB45))),0)</f>
        <v>-</v>
      </c>
      <c r="AK45" s="76"/>
      <c r="AL45" s="133">
        <f>IF(ISERROR(W45/AA45),0,W45/AA45)</f>
        <v>0</v>
      </c>
      <c r="AM45" s="133">
        <f>IF(AA45=0,0,(W45+AB45)/AA45)</f>
        <v>0</v>
      </c>
      <c r="AN45" s="122" t="str">
        <f>IFERROR(IF($D$2="Original",IF($W45=0,"-",(VLOOKUP($X45,AC,5)*$P45)/(W45+AB45)),IF($W45=0,"-",(VLOOKUP($Z45,AC,5)*$P45)/(W45+AB45))),0)</f>
        <v>-</v>
      </c>
    </row>
    <row r="46" spans="2:40" s="3" customFormat="1" ht="26.25" thickBot="1" x14ac:dyDescent="0.25">
      <c r="B46" s="3">
        <v>24</v>
      </c>
      <c r="C46" s="104" t="str">
        <f>E46&amp;"_"&amp;F46&amp;"_"&amp;G46</f>
        <v>Ozone Injection Laundry_Venturi Injection or Bubble Diffusion Ozone Injection Laundry_Minimum 125 lb Total Washer/Extractor Capacity  and Pre Approved by CNG</v>
      </c>
      <c r="D46" s="1"/>
      <c r="E46" s="113" t="s">
        <v>149</v>
      </c>
      <c r="F46" s="113" t="s">
        <v>164</v>
      </c>
      <c r="G46" s="113" t="s">
        <v>165</v>
      </c>
      <c r="H46" s="118">
        <f>P46/N46</f>
        <v>4.4949043819391541</v>
      </c>
      <c r="I46" s="177">
        <v>2.8157903918626128E-2</v>
      </c>
      <c r="J46" s="118">
        <v>1049</v>
      </c>
      <c r="K46" s="116" t="s">
        <v>168</v>
      </c>
      <c r="L46" s="147">
        <f>IF(INDEX('Com Measure Mapping'!U:U,MATCH($C46,'Com Measure Mapping'!B:B,0))="N/A",J46,INDEX('Com Measure Mapping'!U:U,MATCH($C46,'Com Measure Mapping'!B:B,0)))</f>
        <v>2627.6738128332263</v>
      </c>
      <c r="M46" s="147" t="str">
        <f>INDEX('Com Measure Mapping'!V:V,MATCH($C46,'Com Measure Mapping'!B:B,0))</f>
        <v>site</v>
      </c>
      <c r="N46" s="118">
        <f>L46</f>
        <v>2627.6738128332263</v>
      </c>
      <c r="O46" s="118">
        <f>H46</f>
        <v>4.4949043819391541</v>
      </c>
      <c r="P46" s="118">
        <f>$P$72*I46</f>
        <v>11811.142535610834</v>
      </c>
      <c r="Q46" s="125">
        <v>8283</v>
      </c>
      <c r="R46" s="145">
        <f>IF(INDEX('Com Measure Mapping'!W:W,MATCH($C46,'Com Measure Mapping'!B:B,0))="N/A",Q46,INDEX('Com Measure Mapping'!W:W,MATCH($C46,'Com Measure Mapping'!B:B,0)))</f>
        <v>14325.891111111114</v>
      </c>
      <c r="S46" s="125">
        <f>R46</f>
        <v>14325.891111111114</v>
      </c>
      <c r="T46" s="125">
        <f>IFERROR(IF($D$2="Original",O46*Q46,O46*S46),0)</f>
        <v>64393.510730516522</v>
      </c>
      <c r="U46" s="125">
        <v>0</v>
      </c>
      <c r="V46" s="125">
        <f>IFERROR(IF($D$2="Original",PV($F$76,$X46,(-0.05*0.9*$J46)),PV($F$76,$Z46,(-0.05*0.9*$N46))),0)</f>
        <v>988.37504786948739</v>
      </c>
      <c r="W46" s="125">
        <f>IFERROR(IF($D$2="Original",MAX(0,O46*(Q46-U46-V46)),MAX(0,O46*(S46-U46-V46))),0)</f>
        <v>59950.859396848646</v>
      </c>
      <c r="X46" s="116">
        <v>10</v>
      </c>
      <c r="Y46" s="146">
        <f>IF(INDEX('Com Measure Mapping'!X:X,MATCH($C46,'Com Measure Mapping'!B:B,0))="N/A",X46,INDEX('Com Measure Mapping'!X:X,MATCH($C46,'Com Measure Mapping'!B:B,0)))</f>
        <v>10</v>
      </c>
      <c r="Z46" s="118">
        <f>Y46</f>
        <v>10</v>
      </c>
      <c r="AA46" s="118">
        <f>IFERROR(IF($D$2="Original",PV($F$76,X46,-P46),PV($F$76,Z46,-P46)),0)</f>
        <v>98725.585192619546</v>
      </c>
      <c r="AB46" s="125">
        <f>I46*$AB$72</f>
        <v>40255.18707385804</v>
      </c>
      <c r="AC46" s="125">
        <v>2500</v>
      </c>
      <c r="AD46" s="145">
        <f>IF(INDEX('Com Measure Mapping'!Y:Y,MATCH($C46,'Com Measure Mapping'!B:B,0))="N/A",AC46,INDEX('Com Measure Mapping'!Y:Y,MATCH($C46,'Com Measure Mapping'!B:B,0)))</f>
        <v>8395.0617271038645</v>
      </c>
      <c r="AE46" s="147" t="str">
        <f>INDEX('Com Measure Mapping'!V:V,MATCH($C46,'Com Measure Mapping'!B:B,0))</f>
        <v>site</v>
      </c>
      <c r="AF46" s="125">
        <v>9000</v>
      </c>
      <c r="AG46" s="125">
        <f>IFERROR(IF($D$2="Original",H46*AC46,H46*AF46),0)</f>
        <v>40454.139437452388</v>
      </c>
      <c r="AH46" s="132">
        <f>IF(ISERROR(AG46/AA46),0,AG46/AA46)</f>
        <v>0.40976348084971015</v>
      </c>
      <c r="AI46" s="132">
        <f>IF(AA46=0,0,(AG46+AB46)/AA46)</f>
        <v>0.81751175598343306</v>
      </c>
      <c r="AJ46" s="121">
        <f>IFERROR(IF($D$2="Original",IF($AG46=0,"-",(VLOOKUP($X46,AC,7)*$P46)/($AG46+$AB46)),IF($AG46=0,"-",(VLOOKUP($Z46,AC,7)*$P46)/($AG46+$AB46))),0)</f>
        <v>1.4295891079250473</v>
      </c>
      <c r="AK46" s="76"/>
      <c r="AL46" s="132">
        <f>IF(ISERROR(W46/AA46),0,W46/AA46)</f>
        <v>0.60724744532920127</v>
      </c>
      <c r="AM46" s="132">
        <f>IF(AA46=0,0,(W46+AB46)/AA46)</f>
        <v>1.0149957204629243</v>
      </c>
      <c r="AN46" s="121">
        <f>IFERROR(IF($D$2="Original",IF($W46=0,"-",(VLOOKUP($X46,AC,5)*$P46)/(W46+AB46)),IF($W46=0,"-",(VLOOKUP($Z46,AC,5)*$P46)/(W46+AB46))),0)</f>
        <v>1.0467629463336474</v>
      </c>
    </row>
    <row r="47" spans="2:40" s="3" customFormat="1" ht="13.5" thickBot="1" x14ac:dyDescent="0.25">
      <c r="B47" s="3">
        <v>26</v>
      </c>
      <c r="C47" s="104" t="str">
        <f>E47&amp;"_"&amp;F47&amp;"_"&amp;G47</f>
        <v>Radiant Heating_Direct-fired Radiant Heating_None</v>
      </c>
      <c r="D47" s="1"/>
      <c r="E47" s="114" t="s">
        <v>10</v>
      </c>
      <c r="F47" s="114" t="s">
        <v>110</v>
      </c>
      <c r="G47" s="114" t="s">
        <v>20</v>
      </c>
      <c r="H47" s="120">
        <f>P47/N47</f>
        <v>336.24921686806965</v>
      </c>
      <c r="I47" s="178">
        <v>2.1321387914498961E-3</v>
      </c>
      <c r="J47" s="120">
        <v>4.33</v>
      </c>
      <c r="K47" s="117" t="s">
        <v>102</v>
      </c>
      <c r="L47" s="119">
        <f>IF(INDEX('Com Measure Mapping'!U:U,MATCH($C47,'Com Measure Mapping'!B:B,0))="N/A",J47,INDEX('Com Measure Mapping'!U:U,MATCH($C47,'Com Measure Mapping'!B:B,0)))</f>
        <v>2.6597803793585357</v>
      </c>
      <c r="M47" s="119" t="str">
        <f>INDEX('Com Measure Mapping'!V:V,MATCH($C47,'Com Measure Mapping'!B:B,0))</f>
        <v>kBtu/Hr</v>
      </c>
      <c r="N47" s="120">
        <f>L47</f>
        <v>2.6597803793585357</v>
      </c>
      <c r="O47" s="120">
        <f>H47</f>
        <v>336.24921686806965</v>
      </c>
      <c r="P47" s="120">
        <f>$P$72*I47</f>
        <v>894.34906960036483</v>
      </c>
      <c r="Q47" s="126">
        <v>21</v>
      </c>
      <c r="R47" s="131">
        <f>IF(INDEX('Com Measure Mapping'!W:W,MATCH($C47,'Com Measure Mapping'!B:B,0))="N/A",Q47,INDEX('Com Measure Mapping'!W:W,MATCH($C47,'Com Measure Mapping'!B:B,0)))</f>
        <v>5.54389193144468</v>
      </c>
      <c r="S47" s="126">
        <f>Q47</f>
        <v>21</v>
      </c>
      <c r="T47" s="126">
        <f>IFERROR(IF($D$2="Original",O47*Q47,O47*S47),0)</f>
        <v>7061.2335542294622</v>
      </c>
      <c r="U47" s="126">
        <v>0</v>
      </c>
      <c r="V47" s="126">
        <f>IFERROR(IF($D$2="Original",PV($F$76,$X47,(-0.05*0.9*$J47)),PV($F$76,$Z47,(-0.05*0.9*$N47))),0)</f>
        <v>1.3883756486950625</v>
      </c>
      <c r="W47" s="126">
        <f>IFERROR(IF($D$2="Original",MAX(0,O47*(Q47-U47-V47)),MAX(0,O47*(S47-U47-V47))),0)</f>
        <v>6594.3933296370496</v>
      </c>
      <c r="X47" s="117">
        <v>18</v>
      </c>
      <c r="Y47" s="128">
        <f>IF(INDEX('Com Measure Mapping'!X:X,MATCH($C47,'Com Measure Mapping'!B:B,0))="N/A",X47,INDEX('Com Measure Mapping'!X:X,MATCH($C47,'Com Measure Mapping'!B:B,0)))</f>
        <v>15</v>
      </c>
      <c r="Z47" s="120">
        <f>Y47</f>
        <v>15</v>
      </c>
      <c r="AA47" s="120">
        <f>IFERROR(IF($D$2="Original",PV($F$76,X47,-P47),PV($F$76,Z47,-P47)),0)</f>
        <v>10374.227213164728</v>
      </c>
      <c r="AB47" s="126">
        <f>I47*$AB$72</f>
        <v>3048.1546554489746</v>
      </c>
      <c r="AC47" s="126">
        <v>15</v>
      </c>
      <c r="AD47" s="131">
        <f>IF(INDEX('Com Measure Mapping'!Y:Y,MATCH($C47,'Com Measure Mapping'!B:B,0))="N/A",AC47,INDEX('Com Measure Mapping'!Y:Y,MATCH($C47,'Com Measure Mapping'!B:B,0)))</f>
        <v>1.6261126258630161</v>
      </c>
      <c r="AE47" s="119" t="str">
        <f>INDEX('Com Measure Mapping'!V:V,MATCH($C47,'Com Measure Mapping'!B:B,0))</f>
        <v>kBtu/Hr</v>
      </c>
      <c r="AF47" s="126">
        <f>AC47</f>
        <v>15</v>
      </c>
      <c r="AG47" s="126">
        <f>IFERROR(IF($D$2="Original",H47*AC47,H47*AF47),0)</f>
        <v>5043.7382530210452</v>
      </c>
      <c r="AH47" s="133">
        <f>IF(ISERROR(AG47/AA47),0,AG47/AA47)</f>
        <v>0.48617965939868968</v>
      </c>
      <c r="AI47" s="133">
        <f>IF(AA47=0,0,(AG47+AB47)/AA47)</f>
        <v>0.77999958379565248</v>
      </c>
      <c r="AJ47" s="122">
        <f>IFERROR(IF($D$2="Original",IF($AG47=0,"-",(VLOOKUP($X47,AC,7)*$P47)/($AG47+$AB47)),IF($AG47=0,"-",(VLOOKUP($Z47,AC,7)*$P47)/($AG47+$AB47))),0)</f>
        <v>1.6815064585252308</v>
      </c>
      <c r="AK47" s="76"/>
      <c r="AL47" s="133">
        <f>IF(ISERROR(W47/AA47),0,W47/AA47)</f>
        <v>0.63565152315816553</v>
      </c>
      <c r="AM47" s="133">
        <f>IF(AA47=0,0,(W47+AB47)/AA47)</f>
        <v>0.92947144755512834</v>
      </c>
      <c r="AN47" s="122">
        <f>IFERROR(IF($D$2="Original",IF($W47=0,"-",(VLOOKUP($X47,AC,5)*$P47)/(W47+AB47)),IF($W47=0,"-",(VLOOKUP($Z47,AC,5)*$P47)/(W47+AB47))),0)</f>
        <v>1.2828154218471861</v>
      </c>
    </row>
    <row r="48" spans="2:40" s="3" customFormat="1" ht="26.25" thickBot="1" x14ac:dyDescent="0.25">
      <c r="B48" s="3">
        <v>1</v>
      </c>
      <c r="C48" s="104" t="str">
        <f>E48&amp;"_"&amp;F48&amp;"_"&amp;G48</f>
        <v>Steamer - 3 Pan_Connectionless Estar or CEE Qualified_&gt;=38% Cooking Efficiency,&lt;= 2083  Btu/hr /pan Idle Rate</v>
      </c>
      <c r="D48" s="1"/>
      <c r="E48" s="113" t="s">
        <v>100</v>
      </c>
      <c r="F48" s="113" t="s">
        <v>92</v>
      </c>
      <c r="G48" s="113" t="s">
        <v>93</v>
      </c>
      <c r="H48" s="118">
        <v>0</v>
      </c>
      <c r="I48" s="177">
        <v>0</v>
      </c>
      <c r="J48" s="118">
        <v>535</v>
      </c>
      <c r="K48" s="116" t="s">
        <v>47</v>
      </c>
      <c r="L48" s="147">
        <f>IF(INDEX('Com Measure Mapping'!U:U,MATCH($C48,'Com Measure Mapping'!B:B,0))="N/A",J48,INDEX('Com Measure Mapping'!U:U,MATCH($C48,'Com Measure Mapping'!B:B,0)))</f>
        <v>1022.5078302717453</v>
      </c>
      <c r="M48" s="147" t="str">
        <f>INDEX('Com Measure Mapping'!V:V,MATCH($C48,'Com Measure Mapping'!B:B,0))</f>
        <v>1 unit</v>
      </c>
      <c r="N48" s="118">
        <v>0</v>
      </c>
      <c r="O48" s="118">
        <f>H48</f>
        <v>0</v>
      </c>
      <c r="P48" s="118">
        <f>$P$72*I48</f>
        <v>0</v>
      </c>
      <c r="Q48" s="125">
        <v>2600</v>
      </c>
      <c r="R48" s="145">
        <f>IF(INDEX('Com Measure Mapping'!W:W,MATCH($C48,'Com Measure Mapping'!B:B,0))="N/A",Q48,INDEX('Com Measure Mapping'!W:W,MATCH($C48,'Com Measure Mapping'!B:B,0)))</f>
        <v>1107.3099999999997</v>
      </c>
      <c r="S48" s="125">
        <v>0</v>
      </c>
      <c r="T48" s="125">
        <f>IFERROR(IF($D$2="Original",O48*Q48,O48*S48),0)</f>
        <v>0</v>
      </c>
      <c r="U48" s="125">
        <v>0</v>
      </c>
      <c r="V48" s="125">
        <f>IFERROR(IF($D$2="Original",PV($F$76,$X48,(-0.05*0.9*$J48)),PV($F$76,$Z48,(-0.05*0.9*$N48))),0)</f>
        <v>0</v>
      </c>
      <c r="W48" s="125">
        <f>IFERROR(IF($D$2="Original",MAX(0,O48*(Q48-U48-V48)),MAX(0,O48*(S48-U48-V48))),0)</f>
        <v>0</v>
      </c>
      <c r="X48" s="116">
        <v>12</v>
      </c>
      <c r="Y48" s="146">
        <f>IF(INDEX('Com Measure Mapping'!X:X,MATCH($C48,'Com Measure Mapping'!B:B,0))="N/A",X48,INDEX('Com Measure Mapping'!X:X,MATCH($C48,'Com Measure Mapping'!B:B,0)))</f>
        <v>12</v>
      </c>
      <c r="Z48" s="118">
        <v>0</v>
      </c>
      <c r="AA48" s="118">
        <f>IFERROR(IF($D$2="Original",PV($F$76,X48,-P48),PV($F$76,Z48,-P48)),0)</f>
        <v>0</v>
      </c>
      <c r="AB48" s="125">
        <f>I48*$AB$72</f>
        <v>0</v>
      </c>
      <c r="AC48" s="125">
        <v>850</v>
      </c>
      <c r="AD48" s="145">
        <f>IF(INDEX('Com Measure Mapping'!Y:Y,MATCH($C48,'Com Measure Mapping'!B:B,0))="N/A",AC48,INDEX('Com Measure Mapping'!Y:Y,MATCH($C48,'Com Measure Mapping'!B:B,0)))</f>
        <v>943.10029559118243</v>
      </c>
      <c r="AE48" s="147" t="str">
        <f>INDEX('Com Measure Mapping'!V:V,MATCH($C48,'Com Measure Mapping'!B:B,0))</f>
        <v>1 unit</v>
      </c>
      <c r="AF48" s="125">
        <v>0</v>
      </c>
      <c r="AG48" s="125">
        <f>IFERROR(IF($D$2="Original",H48*AC48,H48*AF48),0)</f>
        <v>0</v>
      </c>
      <c r="AH48" s="132">
        <f>IF(ISERROR(AG48/AA48),0,AG48/AA48)</f>
        <v>0</v>
      </c>
      <c r="AI48" s="132">
        <f>IF(AA48=0,0,(AG48+AB48)/AA48)</f>
        <v>0</v>
      </c>
      <c r="AJ48" s="121" t="str">
        <f>IFERROR(IF($D$2="Original",IF($AG48=0,"-",(VLOOKUP($X48,AC,7)*$P48)/($AG48+$AB48)),IF($AG48=0,"-",(VLOOKUP($Z48,AC,7)*$P48)/($AG48+$AB48))),0)</f>
        <v>-</v>
      </c>
      <c r="AK48" s="76"/>
      <c r="AL48" s="132">
        <f>IF(ISERROR(W48/AA48),0,W48/AA48)</f>
        <v>0</v>
      </c>
      <c r="AM48" s="132">
        <f>IF(AA48=0,0,(W48+AB48)/AA48)</f>
        <v>0</v>
      </c>
      <c r="AN48" s="121" t="str">
        <f>IFERROR(IF($D$2="Original",IF($W48=0,"-",(VLOOKUP($X48,AC,5)*$P48)/(W48+AB48)),IF($W48=0,"-",(VLOOKUP($Z48,AC,5)*$P48)/(W48+AB48))),0)</f>
        <v>-</v>
      </c>
    </row>
    <row r="49" spans="2:40" s="3" customFormat="1" ht="26.25" thickBot="1" x14ac:dyDescent="0.25">
      <c r="B49" s="3">
        <v>2</v>
      </c>
      <c r="C49" s="104" t="str">
        <f>E49&amp;"_"&amp;F49&amp;"_"&amp;G49</f>
        <v>Steamer - 6 Pan_Connectionless Estar or CEE Qualified_&gt;=38% Cooking Efficiency,&lt;= 2083  Btu/hr /pan Idle Rate</v>
      </c>
      <c r="D49" s="1"/>
      <c r="E49" s="114" t="s">
        <v>91</v>
      </c>
      <c r="F49" s="114" t="s">
        <v>92</v>
      </c>
      <c r="G49" s="114" t="s">
        <v>93</v>
      </c>
      <c r="H49" s="120">
        <v>0</v>
      </c>
      <c r="I49" s="178">
        <v>0</v>
      </c>
      <c r="J49" s="120">
        <v>912</v>
      </c>
      <c r="K49" s="117" t="s">
        <v>47</v>
      </c>
      <c r="L49" s="119">
        <f>IF(INDEX('Com Measure Mapping'!U:U,MATCH($C49,'Com Measure Mapping'!B:B,0))="N/A",J49,INDEX('Com Measure Mapping'!U:U,MATCH($C49,'Com Measure Mapping'!B:B,0)))</f>
        <v>1022.5078302717453</v>
      </c>
      <c r="M49" s="119" t="str">
        <f>INDEX('Com Measure Mapping'!V:V,MATCH($C49,'Com Measure Mapping'!B:B,0))</f>
        <v>1 unit</v>
      </c>
      <c r="N49" s="120">
        <v>0</v>
      </c>
      <c r="O49" s="120">
        <f>H49</f>
        <v>0</v>
      </c>
      <c r="P49" s="120">
        <f>$P$72*I49</f>
        <v>0</v>
      </c>
      <c r="Q49" s="126">
        <v>3200</v>
      </c>
      <c r="R49" s="131">
        <f>IF(INDEX('Com Measure Mapping'!W:W,MATCH($C49,'Com Measure Mapping'!B:B,0))="N/A",Q49,INDEX('Com Measure Mapping'!W:W,MATCH($C49,'Com Measure Mapping'!B:B,0)))</f>
        <v>1107.3099999999997</v>
      </c>
      <c r="S49" s="126">
        <v>0</v>
      </c>
      <c r="T49" s="126">
        <f>IFERROR(IF($D$2="Original",O49*Q49,O49*S49),0)</f>
        <v>0</v>
      </c>
      <c r="U49" s="126">
        <v>0</v>
      </c>
      <c r="V49" s="126">
        <f>IFERROR(IF($D$2="Original",PV($F$76,$X49,(-0.05*0.9*$J49)),PV($F$76,$Z49,(-0.05*0.9*$N49))),0)</f>
        <v>0</v>
      </c>
      <c r="W49" s="126">
        <f>IFERROR(IF($D$2="Original",MAX(0,O49*(Q49-U49-V49)),MAX(0,O49*(S49-U49-V49))),0)</f>
        <v>0</v>
      </c>
      <c r="X49" s="117">
        <v>12</v>
      </c>
      <c r="Y49" s="128">
        <f>IF(INDEX('Com Measure Mapping'!X:X,MATCH($C49,'Com Measure Mapping'!B:B,0))="N/A",X49,INDEX('Com Measure Mapping'!X:X,MATCH($C49,'Com Measure Mapping'!B:B,0)))</f>
        <v>12</v>
      </c>
      <c r="Z49" s="120">
        <v>0</v>
      </c>
      <c r="AA49" s="120">
        <f>IFERROR(IF($D$2="Original",PV($F$76,X49,-P49),PV($F$76,Z49,-P49)),0)</f>
        <v>0</v>
      </c>
      <c r="AB49" s="126">
        <f>I49*$AB$72</f>
        <v>0</v>
      </c>
      <c r="AC49" s="126">
        <v>1200</v>
      </c>
      <c r="AD49" s="131">
        <f>IF(INDEX('Com Measure Mapping'!Y:Y,MATCH($C49,'Com Measure Mapping'!B:B,0))="N/A",AC49,INDEX('Com Measure Mapping'!Y:Y,MATCH($C49,'Com Measure Mapping'!B:B,0)))</f>
        <v>943.10029559118243</v>
      </c>
      <c r="AE49" s="119" t="str">
        <f>INDEX('Com Measure Mapping'!V:V,MATCH($C49,'Com Measure Mapping'!B:B,0))</f>
        <v>1 unit</v>
      </c>
      <c r="AF49" s="126">
        <v>0</v>
      </c>
      <c r="AG49" s="126">
        <f>IFERROR(IF($D$2="Original",H49*AC49,H49*AF49),0)</f>
        <v>0</v>
      </c>
      <c r="AH49" s="133">
        <f>IF(ISERROR(AG49/AA49),0,AG49/AA49)</f>
        <v>0</v>
      </c>
      <c r="AI49" s="133">
        <f>IF(AA49=0,0,(AG49+AB49)/AA49)</f>
        <v>0</v>
      </c>
      <c r="AJ49" s="122" t="str">
        <f>IFERROR(IF($D$2="Original",IF($AG49=0,"-",(VLOOKUP($X49,AC,7)*$P49)/($AG49+$AB49)),IF($AG49=0,"-",(VLOOKUP($Z49,AC,7)*$P49)/($AG49+$AB49))),0)</f>
        <v>-</v>
      </c>
      <c r="AK49" s="76"/>
      <c r="AL49" s="133">
        <f>IF(ISERROR(W49/AA49),0,W49/AA49)</f>
        <v>0</v>
      </c>
      <c r="AM49" s="133">
        <f>IF(AA49=0,0,(W49+AB49)/AA49)</f>
        <v>0</v>
      </c>
      <c r="AN49" s="122" t="str">
        <f>IFERROR(IF($D$2="Original",IF($W49=0,"-",(VLOOKUP($X49,AC,5)*$P49)/(W49+AB49)),IF($W49=0,"-",(VLOOKUP($Z49,AC,5)*$P49)/(W49+AB49))),0)</f>
        <v>-</v>
      </c>
    </row>
    <row r="50" spans="2:40" s="3" customFormat="1" ht="13.5" thickBot="1" x14ac:dyDescent="0.25">
      <c r="B50" s="164">
        <v>28</v>
      </c>
      <c r="C50" s="165" t="str">
        <f>E50&amp;"_"&amp;F50&amp;"_"&amp;G50</f>
        <v>Tankless Water Heater_Energy Star_Minimum .87 Energy Factor</v>
      </c>
      <c r="D50" s="1"/>
      <c r="E50" s="113" t="s">
        <v>105</v>
      </c>
      <c r="F50" s="113" t="s">
        <v>15</v>
      </c>
      <c r="G50" s="113" t="s">
        <v>111</v>
      </c>
      <c r="H50" s="118">
        <f>P50/N50</f>
        <v>448.71295967078561</v>
      </c>
      <c r="I50" s="177">
        <v>2.3151885063932353E-2</v>
      </c>
      <c r="J50" s="118">
        <v>22</v>
      </c>
      <c r="K50" s="116" t="s">
        <v>106</v>
      </c>
      <c r="L50" s="147">
        <f>IF(INDEX('Com Measure Mapping'!U:U,MATCH($C50,'Com Measure Mapping'!B:B,0))="N/A",J50,INDEX('Com Measure Mapping'!U:U,MATCH($C50,'Com Measure Mapping'!B:B,0)))</f>
        <v>21.642595007568275</v>
      </c>
      <c r="M50" s="147" t="str">
        <f>INDEX('Com Measure Mapping'!V:V,MATCH($C50,'Com Measure Mapping'!B:B,0))</f>
        <v>gpm</v>
      </c>
      <c r="N50" s="118">
        <f>L50</f>
        <v>21.642595007568275</v>
      </c>
      <c r="O50" s="118">
        <f>H50</f>
        <v>448.71295967078561</v>
      </c>
      <c r="P50" s="118">
        <f>$P$72*I50</f>
        <v>9711.3128608021289</v>
      </c>
      <c r="Q50" s="125">
        <v>137.9</v>
      </c>
      <c r="R50" s="145">
        <f>IF(INDEX('Com Measure Mapping'!W:W,MATCH($C50,'Com Measure Mapping'!B:B,0))="N/A",Q50,INDEX('Com Measure Mapping'!W:W,MATCH($C50,'Com Measure Mapping'!B:B,0)))</f>
        <v>27.008310440738232</v>
      </c>
      <c r="S50" s="125">
        <f>Q50</f>
        <v>137.9</v>
      </c>
      <c r="T50" s="125">
        <f>IFERROR(IF($D$2="Original",O50*Q50,O50*S50),0)</f>
        <v>61877.517138601339</v>
      </c>
      <c r="U50" s="125">
        <v>0</v>
      </c>
      <c r="V50" s="125">
        <f>IFERROR(IF($D$2="Original",PV($F$76,$X50,(-0.05*0.9*$J50)),PV($F$76,$Z50,(-0.05*0.9*$N50))),0)</f>
        <v>8.1406606756722564</v>
      </c>
      <c r="W50" s="125">
        <f>IFERROR(IF($D$2="Original",MAX(0,O50*(Q50-U50-V50)),MAX(0,O50*(S50-U50-V50))),0)</f>
        <v>58224.697193144864</v>
      </c>
      <c r="X50" s="116">
        <v>18</v>
      </c>
      <c r="Y50" s="146">
        <f>IF(INDEX('Com Measure Mapping'!X:X,MATCH($C50,'Com Measure Mapping'!B:B,0))="N/A",X50,INDEX('Com Measure Mapping'!X:X,MATCH($C50,'Com Measure Mapping'!B:B,0)))</f>
        <v>10</v>
      </c>
      <c r="Z50" s="118">
        <f>Y50</f>
        <v>10</v>
      </c>
      <c r="AA50" s="118">
        <f>IFERROR(IF($D$2="Original",PV($F$76,X50,-P50),PV($F$76,Z50,-P50)),0)</f>
        <v>81173.776565699431</v>
      </c>
      <c r="AB50" s="125">
        <f>I50*$AB$72</f>
        <v>33098.467380754162</v>
      </c>
      <c r="AC50" s="125">
        <v>120</v>
      </c>
      <c r="AD50" s="145">
        <f>IF(INDEX('Com Measure Mapping'!Y:Y,MATCH($C50,'Com Measure Mapping'!B:B,0))="N/A",AC50,INDEX('Com Measure Mapping'!Y:Y,MATCH($C50,'Com Measure Mapping'!B:B,0)))</f>
        <v>24.477313194186394</v>
      </c>
      <c r="AE50" s="147" t="str">
        <f>INDEX('Com Measure Mapping'!V:V,MATCH($C50,'Com Measure Mapping'!B:B,0))</f>
        <v>gpm</v>
      </c>
      <c r="AF50" s="125">
        <f>AC50</f>
        <v>120</v>
      </c>
      <c r="AG50" s="125">
        <f>IFERROR(IF($D$2="Original",H50*AC50,H50*AF50),0)</f>
        <v>53845.555160494274</v>
      </c>
      <c r="AH50" s="132">
        <f>IF(ISERROR(AG50/AA50),0,AG50/AA50)</f>
        <v>0.66333682426261664</v>
      </c>
      <c r="AI50" s="132">
        <f>IF(AA50=0,0,(AG50+AB50)/AA50)</f>
        <v>1.0710850993963397</v>
      </c>
      <c r="AJ50" s="121">
        <f>IFERROR(IF($D$2="Original",IF($AG50=0,"-",(VLOOKUP($X50,AC,7)*$P50)/($AG50+$AB50)),IF($AG50=0,"-",(VLOOKUP($Z50,AC,7)*$P50)/($AG50+$AB50))),0)</f>
        <v>1.091141966789823</v>
      </c>
      <c r="AK50" s="76"/>
      <c r="AL50" s="132">
        <f>IF(ISERROR(W50/AA50),0,W50/AA50)</f>
        <v>0.71728456721512368</v>
      </c>
      <c r="AM50" s="132">
        <f>IF(AA50=0,0,(W50+AB50)/AA50)</f>
        <v>1.1250328423488467</v>
      </c>
      <c r="AN50" s="121">
        <f>IFERROR(IF($D$2="Original",IF($W50=0,"-",(VLOOKUP($X50,AC,5)*$P50)/(W50+AB50)),IF($W50=0,"-",(VLOOKUP($Z50,AC,5)*$P50)/(W50+AB50))),0)</f>
        <v>0.94438124015082703</v>
      </c>
    </row>
    <row r="51" spans="2:40" s="3" customFormat="1" ht="33" customHeight="1" thickBot="1" x14ac:dyDescent="0.25">
      <c r="B51" s="166" t="s">
        <v>436</v>
      </c>
      <c r="C51" s="165" t="str">
        <f>E51&amp;"_"&amp;F51&amp;"_"&amp;G51</f>
        <v>Tankless Water Heater - Tier 2_Energy Star_Minimum .93 Energy Factor</v>
      </c>
      <c r="D51" s="1"/>
      <c r="E51" s="114" t="s">
        <v>113</v>
      </c>
      <c r="F51" s="114" t="s">
        <v>15</v>
      </c>
      <c r="G51" s="114" t="s">
        <v>114</v>
      </c>
      <c r="H51" s="120">
        <f>P51/N51</f>
        <v>258.08839813232214</v>
      </c>
      <c r="I51" s="178">
        <v>2.3151885063932353E-2</v>
      </c>
      <c r="J51" s="120">
        <v>38</v>
      </c>
      <c r="K51" s="117" t="s">
        <v>106</v>
      </c>
      <c r="L51" s="119">
        <f>IF(INDEX('Com Measure Mapping'!U:U,MATCH($C51,'Com Measure Mapping'!B:B,0))="N/A",J51,INDEX('Com Measure Mapping'!U:U,MATCH($C51,'Com Measure Mapping'!B:B,0)))</f>
        <v>37.62785514993638</v>
      </c>
      <c r="M51" s="119" t="str">
        <f>INDEX('Com Measure Mapping'!V:V,MATCH($C51,'Com Measure Mapping'!B:B,0))</f>
        <v>gpm</v>
      </c>
      <c r="N51" s="120">
        <f>L51</f>
        <v>37.62785514993638</v>
      </c>
      <c r="O51" s="120">
        <f>H51</f>
        <v>258.08839813232214</v>
      </c>
      <c r="P51" s="120">
        <f>$P$72*I51</f>
        <v>9711.3128608021289</v>
      </c>
      <c r="Q51" s="126">
        <v>52.8</v>
      </c>
      <c r="R51" s="131">
        <f>IF(INDEX('Com Measure Mapping'!W:W,MATCH($C51,'Com Measure Mapping'!B:B,0))="N/A",Q51,INDEX('Com Measure Mapping'!W:W,MATCH($C51,'Com Measure Mapping'!B:B,0)))</f>
        <v>54.368520691779096</v>
      </c>
      <c r="S51" s="126">
        <f>Q51</f>
        <v>52.8</v>
      </c>
      <c r="T51" s="126">
        <f>IFERROR(IF($D$2="Original",O51*Q51,O51*S51),0)</f>
        <v>13627.067421386608</v>
      </c>
      <c r="U51" s="126">
        <v>0</v>
      </c>
      <c r="V51" s="126">
        <f>IFERROR(IF($D$2="Original",PV($F$76,$X51,(-0.05*0.9*$J51)),PV($F$76,$Z51,(-0.05*0.9*$N51))),0)</f>
        <v>14.153367496913484</v>
      </c>
      <c r="W51" s="126">
        <f>IFERROR(IF($D$2="Original",MAX(0,O51*(Q51-U51-V51)),MAX(0,O51*(S51-U51-V51))),0)</f>
        <v>9974.2474759301331</v>
      </c>
      <c r="X51" s="117">
        <v>20</v>
      </c>
      <c r="Y51" s="128">
        <f>IF(INDEX('Com Measure Mapping'!X:X,MATCH($C51,'Com Measure Mapping'!B:B,0))="N/A",X51,INDEX('Com Measure Mapping'!X:X,MATCH($C51,'Com Measure Mapping'!B:B,0)))</f>
        <v>10</v>
      </c>
      <c r="Z51" s="120">
        <f>Y51</f>
        <v>10</v>
      </c>
      <c r="AA51" s="120">
        <f>IFERROR(IF($D$2="Original",PV($F$76,X51,-P51),PV($F$76,Z51,-P51)),0)</f>
        <v>81173.776565699431</v>
      </c>
      <c r="AB51" s="126">
        <f>I51*$AB$72</f>
        <v>33098.467380754162</v>
      </c>
      <c r="AC51" s="126">
        <v>150</v>
      </c>
      <c r="AD51" s="131">
        <f>IF(INDEX('Com Measure Mapping'!Y:Y,MATCH($C51,'Com Measure Mapping'!B:B,0))="N/A",AC51,INDEX('Com Measure Mapping'!Y:Y,MATCH($C51,'Com Measure Mapping'!B:B,0)))</f>
        <v>45.457867360631909</v>
      </c>
      <c r="AE51" s="119" t="str">
        <f>INDEX('Com Measure Mapping'!V:V,MATCH($C51,'Com Measure Mapping'!B:B,0))</f>
        <v>gpm</v>
      </c>
      <c r="AF51" s="126">
        <f>AC51</f>
        <v>150</v>
      </c>
      <c r="AG51" s="126">
        <f>IFERROR(IF($D$2="Original",H51*AC51,H51*AF51),0)</f>
        <v>38713.25971984832</v>
      </c>
      <c r="AH51" s="133">
        <f>IF(ISERROR(AG51/AA51),0,AG51/AA51)</f>
        <v>0.47691830240909217</v>
      </c>
      <c r="AI51" s="133">
        <f>IF(AA51=0,0,(AG51+AB51)/AA51)</f>
        <v>0.88466657754281508</v>
      </c>
      <c r="AJ51" s="122">
        <f>IFERROR(IF($D$2="Original",IF($AG51=0,"-",(VLOOKUP($X51,AC,7)*$P51)/($AG51+$AB51)),IF($AG51=0,"-",(VLOOKUP($Z51,AC,7)*$P51)/($AG51+$AB51))),0)</f>
        <v>1.3210693515750385</v>
      </c>
      <c r="AK51" s="76"/>
      <c r="AL51" s="133">
        <f>IF(ISERROR(W51/AA51),0,W51/AA51)</f>
        <v>0.12287524244800042</v>
      </c>
      <c r="AM51" s="133">
        <f>IF(AA51=0,0,(W51+AB51)/AA51)</f>
        <v>0.53062351758172333</v>
      </c>
      <c r="AN51" s="122">
        <f>IFERROR(IF($D$2="Original",IF($W51=0,"-",(VLOOKUP($X51,AC,5)*$P51)/(W51+AB51)),IF($W51=0,"-",(VLOOKUP($Z51,AC,5)*$P51)/(W51+AB51))),0)</f>
        <v>2.0022857556519442</v>
      </c>
    </row>
    <row r="52" spans="2:40" s="3" customFormat="1" ht="13.5" thickBot="1" x14ac:dyDescent="0.25">
      <c r="B52" s="3">
        <v>29</v>
      </c>
      <c r="C52" s="104" t="str">
        <f>E52&amp;"_"&amp;F52&amp;"_"&amp;G52</f>
        <v>Warm-Air Furnace_High-Efficiency Condensing Furnace_Minimum  91% AFUE</v>
      </c>
      <c r="D52" s="1"/>
      <c r="E52" s="113" t="s">
        <v>107</v>
      </c>
      <c r="F52" s="113" t="s">
        <v>108</v>
      </c>
      <c r="G52" s="113" t="s">
        <v>109</v>
      </c>
      <c r="H52" s="118">
        <f>P52/N52</f>
        <v>8775.6703396003377</v>
      </c>
      <c r="I52" s="177">
        <v>1.2284606637052846E-2</v>
      </c>
      <c r="J52" s="118">
        <v>1.1000000000000001</v>
      </c>
      <c r="K52" s="116" t="s">
        <v>102</v>
      </c>
      <c r="L52" s="147">
        <f>IF(INDEX('Com Measure Mapping'!U:U,MATCH($C52,'Com Measure Mapping'!B:B,0))="N/A",J52,INDEX('Com Measure Mapping'!U:U,MATCH($C52,'Com Measure Mapping'!B:B,0)))</f>
        <v>0.58718174055971872</v>
      </c>
      <c r="M52" s="147" t="str">
        <f>INDEX('Com Measure Mapping'!V:V,MATCH($C52,'Com Measure Mapping'!B:B,0))</f>
        <v>kBtu/hr</v>
      </c>
      <c r="N52" s="118">
        <f>L52</f>
        <v>0.58718174055971872</v>
      </c>
      <c r="O52" s="118">
        <f>H52</f>
        <v>8775.6703396003377</v>
      </c>
      <c r="P52" s="118">
        <f>$P$72*I52</f>
        <v>5152.9133845848237</v>
      </c>
      <c r="Q52" s="125">
        <v>6.72</v>
      </c>
      <c r="R52" s="145">
        <f>IF(INDEX('Com Measure Mapping'!W:W,MATCH($C52,'Com Measure Mapping'!B:B,0))="N/A",Q52,INDEX('Com Measure Mapping'!W:W,MATCH($C52,'Com Measure Mapping'!B:B,0)))</f>
        <v>3.1362069444444454</v>
      </c>
      <c r="S52" s="125">
        <f>Q52</f>
        <v>6.72</v>
      </c>
      <c r="T52" s="125">
        <f>IFERROR(IF($D$2="Original",O52*Q52,O52*S52),0)</f>
        <v>58972.504682114268</v>
      </c>
      <c r="U52" s="125">
        <v>0</v>
      </c>
      <c r="V52" s="125">
        <f>IFERROR(IF($D$2="Original",PV($F$76,$X52,(-0.05*0.9*$J52)),PV($F$76,$Z52,(-0.05*0.9*$N52))),0)</f>
        <v>0.41696056532583686</v>
      </c>
      <c r="W52" s="125">
        <f>IFERROR(IF($D$2="Original",MAX(0,O52*(Q52-U52-V52)),MAX(0,O52*(S52-U52-V52))),0)</f>
        <v>55313.396216201327</v>
      </c>
      <c r="X52" s="116">
        <v>18</v>
      </c>
      <c r="Y52" s="146">
        <f>IF(INDEX('Com Measure Mapping'!X:X,MATCH($C52,'Com Measure Mapping'!B:B,0))="N/A",X52,INDEX('Com Measure Mapping'!X:X,MATCH($C52,'Com Measure Mapping'!B:B,0)))</f>
        <v>23</v>
      </c>
      <c r="Z52" s="118">
        <f>Y52</f>
        <v>23</v>
      </c>
      <c r="AA52" s="118">
        <f>IFERROR(IF($D$2="Original",PV($F$76,X52,-P52),PV($F$76,Z52,-P52)),0)</f>
        <v>81313.521464731879</v>
      </c>
      <c r="AB52" s="125">
        <f>I52*$AB$72</f>
        <v>17562.356194283402</v>
      </c>
      <c r="AC52" s="125">
        <v>5</v>
      </c>
      <c r="AD52" s="145">
        <f>IF(INDEX('Com Measure Mapping'!Y:Y,MATCH($C52,'Com Measure Mapping'!B:B,0))="N/A",AC52,INDEX('Com Measure Mapping'!Y:Y,MATCH($C52,'Com Measure Mapping'!B:B,0)))</f>
        <v>0.63229916729670732</v>
      </c>
      <c r="AE52" s="147" t="str">
        <f>INDEX('Com Measure Mapping'!V:V,MATCH($C52,'Com Measure Mapping'!B:B,0))</f>
        <v>kBtu/hr</v>
      </c>
      <c r="AF52" s="125">
        <f>AC52</f>
        <v>5</v>
      </c>
      <c r="AG52" s="125">
        <f>IFERROR(IF($D$2="Original",H52*AC52,H52*AF52),0)</f>
        <v>43878.351698001687</v>
      </c>
      <c r="AH52" s="132">
        <f>IF(ISERROR(AG52/AA52),0,AG52/AA52)</f>
        <v>0.53961937581356689</v>
      </c>
      <c r="AI52" s="132">
        <f>IF(AA52=0,0,(AG52+AB52)/AA52)</f>
        <v>0.75560259579870459</v>
      </c>
      <c r="AJ52" s="121">
        <f>IFERROR(IF($D$2="Original",IF($AG52=0,"-",(VLOOKUP($X52,AC,7)*$P52)/($AG52+$AB52)),IF($AG52=0,"-",(VLOOKUP($Z52,AC,7)*$P52)/($AG52+$AB52))),0)</f>
        <v>2.0945229117349511</v>
      </c>
      <c r="AK52" s="76"/>
      <c r="AL52" s="132">
        <f>IF(ISERROR(W52/AA52),0,W52/AA52)</f>
        <v>0.68024844109343374</v>
      </c>
      <c r="AM52" s="132">
        <f>IF(AA52=0,0,(W52+AB52)/AA52)</f>
        <v>0.89623166107857144</v>
      </c>
      <c r="AN52" s="121">
        <f>IFERROR(IF($D$2="Original",IF($W52=0,"-",(VLOOKUP($X52,AC,5)*$P52)/(W52+AB52)),IF($W52=0,"-",(VLOOKUP($Z52,AC,5)*$P52)/(W52+AB52))),0)</f>
        <v>1.6053346856184836</v>
      </c>
    </row>
    <row r="53" spans="2:40" s="3" customFormat="1" ht="26.25" thickBot="1" x14ac:dyDescent="0.25">
      <c r="B53" s="3">
        <v>30</v>
      </c>
      <c r="C53" s="104" t="str">
        <f>E53&amp;"_"&amp;F53&amp;"_"&amp;G53</f>
        <v>Windows_Single pane to .3 or less (not LoadMAP's .50 to .22) per sq ft_0.3 or less U</v>
      </c>
      <c r="D53" s="1"/>
      <c r="E53" s="114" t="s">
        <v>132</v>
      </c>
      <c r="F53" s="114" t="s">
        <v>444</v>
      </c>
      <c r="G53" s="114" t="s">
        <v>445</v>
      </c>
      <c r="H53" s="120">
        <f>P53/N53</f>
        <v>4663.097643303352</v>
      </c>
      <c r="I53" s="178">
        <v>5.421637363067033E-3</v>
      </c>
      <c r="J53" s="120">
        <v>1.1000000000000001</v>
      </c>
      <c r="K53" s="117" t="s">
        <v>127</v>
      </c>
      <c r="L53" s="119">
        <f>IF(INDEX('Com Measure Mapping'!U:U,MATCH($C53,'Com Measure Mapping'!B:B,0))="N/A",J53,INDEX('Com Measure Mapping'!U:U,MATCH($C53,'Com Measure Mapping'!B:B,0)))</f>
        <v>0.48769414751916607</v>
      </c>
      <c r="M53" s="119" t="str">
        <f>INDEX('Com Measure Mapping'!V:V,MATCH($C53,'Com Measure Mapping'!B:B,0))</f>
        <v>sqft window</v>
      </c>
      <c r="N53" s="120">
        <f>L53</f>
        <v>0.48769414751916607</v>
      </c>
      <c r="O53" s="120">
        <f>H53</f>
        <v>4663.097643303352</v>
      </c>
      <c r="P53" s="120">
        <f>$P$72*I53</f>
        <v>2274.1654299494608</v>
      </c>
      <c r="Q53" s="126">
        <v>24.31</v>
      </c>
      <c r="R53" s="131">
        <f>IF(INDEX('Com Measure Mapping'!W:W,MATCH($C53,'Com Measure Mapping'!B:B,0))="N/A",Q53,INDEX('Com Measure Mapping'!W:W,MATCH($C53,'Com Measure Mapping'!B:B,0)))</f>
        <v>24.150000000000002</v>
      </c>
      <c r="S53" s="126">
        <f>Q53</f>
        <v>24.31</v>
      </c>
      <c r="T53" s="126">
        <f>IFERROR(IF($D$2="Original",O53*Q53,O53*S53),0)</f>
        <v>113359.90370870449</v>
      </c>
      <c r="U53" s="126">
        <v>0</v>
      </c>
      <c r="V53" s="126">
        <f>IFERROR(IF($D$2="Original",PV($F$76,$X53,(-0.05*0.9*$J53)),PV($F$76,$Z53,(-0.05*0.9*$N53))),0)</f>
        <v>0.50210800661289701</v>
      </c>
      <c r="W53" s="126">
        <f>IFERROR(IF($D$2="Original",MAX(0,O53*(Q53-U53-V53)),MAX(0,O53*(S53-U53-V53))),0)</f>
        <v>111018.52504638414</v>
      </c>
      <c r="X53" s="117">
        <v>45</v>
      </c>
      <c r="Y53" s="128">
        <f>IF(INDEX('Com Measure Mapping'!X:X,MATCH($C53,'Com Measure Mapping'!B:B,0))="N/A",X53,INDEX('Com Measure Mapping'!X:X,MATCH($C53,'Com Measure Mapping'!B:B,0)))</f>
        <v>45</v>
      </c>
      <c r="Z53" s="120">
        <f>Y53</f>
        <v>45</v>
      </c>
      <c r="AA53" s="120">
        <f>IFERROR(IF($D$2="Original",PV($F$76,X53,-P53),PV($F$76,Z53,-P53)),0)</f>
        <v>52030.636940452088</v>
      </c>
      <c r="AB53" s="126">
        <f>I53*$AB$72</f>
        <v>7750.8974718999807</v>
      </c>
      <c r="AC53" s="126">
        <v>5</v>
      </c>
      <c r="AD53" s="131">
        <f>IF(INDEX('Com Measure Mapping'!Y:Y,MATCH($C53,'Com Measure Mapping'!B:B,0))="N/A",AC53,INDEX('Com Measure Mapping'!Y:Y,MATCH($C53,'Com Measure Mapping'!B:B,0)))</f>
        <v>4.9999930262760257</v>
      </c>
      <c r="AE53" s="119" t="str">
        <f>INDEX('Com Measure Mapping'!V:V,MATCH($C53,'Com Measure Mapping'!B:B,0))</f>
        <v>sqft window</v>
      </c>
      <c r="AF53" s="126">
        <f>AC53*1.5</f>
        <v>7.5</v>
      </c>
      <c r="AG53" s="126">
        <f>IFERROR(IF($D$2="Original",H53*AC53,H53*AF53),0)</f>
        <v>34973.232324775141</v>
      </c>
      <c r="AH53" s="133">
        <f>IF(ISERROR(AG53/AA53),0,AG53/AA53)</f>
        <v>0.67216613866943875</v>
      </c>
      <c r="AI53" s="133">
        <f>IF(AA53=0,0,(AG53+AB53)/AA53)</f>
        <v>0.82113409154633155</v>
      </c>
      <c r="AJ53" s="122">
        <f>IFERROR(IF($D$2="Original",IF($AG53=0,"-",(VLOOKUP($X53,AC,7)*$P53)/($AG53+$AB53)),IF($AG53=0,"-",(VLOOKUP($Z53,AC,7)*$P53)/($AG53+$AB53))),0)</f>
        <v>3.2611654194063187</v>
      </c>
      <c r="AK53" s="76"/>
      <c r="AL53" s="133">
        <f>IF(ISERROR(W53/AA53),0,W53/AA53)</f>
        <v>2.1337145108072071</v>
      </c>
      <c r="AM53" s="133">
        <f>IF(AA53=0,0,(W53+AB53)/AA53)</f>
        <v>2.2826824636840999</v>
      </c>
      <c r="AN53" s="122">
        <f>IFERROR(IF($D$2="Original",IF($W53=0,"-",(VLOOKUP($X53,AC,5)*$P53)/(W53+AB53)),IF($W53=0,"-",(VLOOKUP($Z53,AC,5)*$P53)/(W53+AB53))),0)</f>
        <v>1.0664701992459731</v>
      </c>
    </row>
    <row r="54" spans="2:40" s="3" customFormat="1" ht="13.5" thickBot="1" x14ac:dyDescent="0.25">
      <c r="B54" s="163" t="s">
        <v>409</v>
      </c>
      <c r="C54" s="104" t="str">
        <f>E54&amp;"_"&amp;F54&amp;"_"&amp;G54</f>
        <v>Windows_U-.22 or less_U-.22 or less</v>
      </c>
      <c r="D54" s="1"/>
      <c r="E54" s="113" t="s">
        <v>132</v>
      </c>
      <c r="F54" s="113" t="s">
        <v>438</v>
      </c>
      <c r="G54" s="113" t="s">
        <v>438</v>
      </c>
      <c r="H54" s="118">
        <f>P54/N54</f>
        <v>3883.8981481481478</v>
      </c>
      <c r="I54" s="177">
        <v>5.0000000000000001E-3</v>
      </c>
      <c r="J54" s="118" t="s">
        <v>250</v>
      </c>
      <c r="K54" s="116" t="s">
        <v>127</v>
      </c>
      <c r="L54" s="147">
        <f>IF(INDEX('Com Measure Mapping'!U:U,MATCH($C54,'Com Measure Mapping'!B:B,0))="N/A",J54,INDEX('Com Measure Mapping'!U:U,MATCH($C54,'Com Measure Mapping'!B:B,0)))</f>
        <v>0.54</v>
      </c>
      <c r="M54" s="147" t="str">
        <f>INDEX('Com Measure Mapping'!V:V,MATCH($C54,'Com Measure Mapping'!B:B,0))</f>
        <v>N/A</v>
      </c>
      <c r="N54" s="118">
        <f>L54</f>
        <v>0.54</v>
      </c>
      <c r="O54" s="118">
        <f>H54</f>
        <v>3883.8981481481478</v>
      </c>
      <c r="P54" s="118">
        <f>$P$72*I54</f>
        <v>2097.3049999999998</v>
      </c>
      <c r="Q54" s="125" t="s">
        <v>250</v>
      </c>
      <c r="R54" s="145">
        <f>IF(INDEX('Com Measure Mapping'!W:W,MATCH($C54,'Com Measure Mapping'!B:B,0))="N/A",Q54,INDEX('Com Measure Mapping'!W:W,MATCH($C54,'Com Measure Mapping'!B:B,0)))</f>
        <v>26.23</v>
      </c>
      <c r="S54" s="125">
        <f>R54</f>
        <v>26.23</v>
      </c>
      <c r="T54" s="125">
        <f>IFERROR(IF($D$2="Original",O54*Q54,O54*S54),0)</f>
        <v>101874.64842592592</v>
      </c>
      <c r="U54" s="125">
        <v>0</v>
      </c>
      <c r="V54" s="125">
        <f>IFERROR(IF($D$2="Original",PV($F$76,$X54,(-0.05*0.9*$J54)),PV($F$76,$Z54,(-0.05*0.9*$N54))),0)</f>
        <v>0.55595976484484844</v>
      </c>
      <c r="W54" s="125">
        <f>IFERROR(IF($D$2="Original",MAX(0,O54*(Q54-U54-V54)),MAX(0,O54*(S54-U54-V54))),0)</f>
        <v>99715.357324800134</v>
      </c>
      <c r="X54" s="116" t="s">
        <v>250</v>
      </c>
      <c r="Y54" s="146">
        <f>IF(INDEX('Com Measure Mapping'!X:X,MATCH($C54,'Com Measure Mapping'!B:B,0))="N/A",X54,INDEX('Com Measure Mapping'!X:X,MATCH($C54,'Com Measure Mapping'!B:B,0)))</f>
        <v>45</v>
      </c>
      <c r="Z54" s="118">
        <f>Y54</f>
        <v>45</v>
      </c>
      <c r="AA54" s="118">
        <f>IFERROR(IF($D$2="Original",PV($F$76,X54,-P54),PV($F$76,Z54,-P54)),0)</f>
        <v>47984.246691684137</v>
      </c>
      <c r="AB54" s="125">
        <f>I54*$AB$72</f>
        <v>7148.1149999999998</v>
      </c>
      <c r="AC54" s="125" t="s">
        <v>250</v>
      </c>
      <c r="AD54" s="145">
        <f>IF(INDEX('Com Measure Mapping'!Y:Y,MATCH($C54,'Com Measure Mapping'!B:B,0))="N/A",AC54,INDEX('Com Measure Mapping'!Y:Y,MATCH($C54,'Com Measure Mapping'!B:B,0)))</f>
        <v>4.9999930262760257</v>
      </c>
      <c r="AE54" s="147" t="str">
        <f>INDEX('Com Measure Mapping'!V:V,MATCH($C54,'Com Measure Mapping'!B:B,0))</f>
        <v>N/A</v>
      </c>
      <c r="AF54" s="125">
        <v>9</v>
      </c>
      <c r="AG54" s="125">
        <f>IFERROR(IF($D$2="Original",H54*AC54,H54*AF54),0)</f>
        <v>34955.083333333328</v>
      </c>
      <c r="AH54" s="132">
        <f>IF(ISERROR(AG54/AA54),0,AG54/AA54)</f>
        <v>0.72846998219920345</v>
      </c>
      <c r="AI54" s="132">
        <f>IF(AA54=0,0,(AG54+AB54)/AA54)</f>
        <v>0.87743793507609613</v>
      </c>
      <c r="AJ54" s="121">
        <f>IFERROR(IF($D$2="Original",IF($AG54=0,"-",(VLOOKUP($X54,AC,7)*$P54)/($AG54+$AB54)),IF($AG54=0,"-",(VLOOKUP($Z54,AC,7)*$P54)/($AG54+$AB54))),0)</f>
        <v>3.0519014473818946</v>
      </c>
      <c r="AK54" s="76"/>
      <c r="AL54" s="132">
        <f>IF(ISERROR(W54/AA54),0,W54/AA54)</f>
        <v>2.078085292565012</v>
      </c>
      <c r="AM54" s="132">
        <f>IF(AA54=0,0,(W54+AB54)/AA54)</f>
        <v>2.2270532454419047</v>
      </c>
      <c r="AN54" s="121">
        <f>IFERROR(IF($D$2="Original",IF($W54=0,"-",(VLOOKUP($X54,AC,5)*$P54)/(W54+AB54)),IF($W54=0,"-",(VLOOKUP($Z54,AC,5)*$P54)/(W54+AB54))),0)</f>
        <v>1.0931093932500122</v>
      </c>
    </row>
    <row r="55" spans="2:40" ht="13.5" thickBot="1" x14ac:dyDescent="0.25">
      <c r="B55" s="1">
        <v>7</v>
      </c>
      <c r="C55" s="104" t="str">
        <f>E55&amp;"_"&amp;F55&amp;"_"&amp;G55</f>
        <v>Bonus - Insulation Bundle A_Insulation Bundle A_Two Insulation Measures, min. 1000 sq. ft.+</v>
      </c>
      <c r="E55" s="114" t="s">
        <v>63</v>
      </c>
      <c r="F55" s="114" t="s">
        <v>64</v>
      </c>
      <c r="G55" s="114" t="s">
        <v>65</v>
      </c>
      <c r="H55" s="120">
        <v>6</v>
      </c>
      <c r="I55" s="178">
        <v>0</v>
      </c>
      <c r="J55" s="120">
        <v>0</v>
      </c>
      <c r="K55" s="117" t="s">
        <v>47</v>
      </c>
      <c r="L55" s="119" t="s">
        <v>250</v>
      </c>
      <c r="M55" s="119" t="s">
        <v>250</v>
      </c>
      <c r="N55" s="120">
        <f>J55</f>
        <v>0</v>
      </c>
      <c r="O55" s="120">
        <f>H55</f>
        <v>6</v>
      </c>
      <c r="P55" s="120">
        <f>$P$72*I55</f>
        <v>0</v>
      </c>
      <c r="Q55" s="126">
        <v>0</v>
      </c>
      <c r="R55" s="131" t="s">
        <v>250</v>
      </c>
      <c r="S55" s="126">
        <f>Q55</f>
        <v>0</v>
      </c>
      <c r="T55" s="126">
        <f>IFERROR(IF($D$2="Original",O55*Q55,O55*S55),0)</f>
        <v>0</v>
      </c>
      <c r="U55" s="126">
        <v>0</v>
      </c>
      <c r="V55" s="126">
        <f>0.1*$J55+PV($F$76,$X55,(-0.05*0.9*$J55))</f>
        <v>0</v>
      </c>
      <c r="W55" s="126">
        <f>IFERROR(IF($D$2="Original",MAX(0,O55*(Q55-U55-V55)),MAX(0,O55*(S55-U55-V55))),0)</f>
        <v>0</v>
      </c>
      <c r="X55" s="117">
        <v>0</v>
      </c>
      <c r="Y55" s="128" t="s">
        <v>250</v>
      </c>
      <c r="Z55" s="120">
        <f>X55</f>
        <v>0</v>
      </c>
      <c r="AA55" s="120">
        <f>IFERROR(IF($D$2="Original",PV($F$76,X55,-P55),PV($F$76,Z55,-P55)),0)</f>
        <v>0</v>
      </c>
      <c r="AB55" s="126">
        <f>I55*$AB$72</f>
        <v>0</v>
      </c>
      <c r="AC55" s="126">
        <v>500</v>
      </c>
      <c r="AD55" s="131" t="s">
        <v>250</v>
      </c>
      <c r="AE55" s="119" t="s">
        <v>250</v>
      </c>
      <c r="AF55" s="126">
        <f>AC55</f>
        <v>500</v>
      </c>
      <c r="AG55" s="126">
        <f>IFERROR(IF($D$2="Original",H55*AC55,H55*AF55),0)</f>
        <v>3000</v>
      </c>
      <c r="AH55" s="133">
        <f>IF(ISERROR(AG55/AA55),0,AG55/AA55)</f>
        <v>0</v>
      </c>
      <c r="AI55" s="133">
        <f>IF(AA55=0,0,(AG55+AB55)/AA55)</f>
        <v>0</v>
      </c>
      <c r="AJ55" s="122" t="s">
        <v>442</v>
      </c>
      <c r="AK55" s="76"/>
      <c r="AL55" s="133">
        <f>IF(ISERROR(W55/AA55),0,W55/AA55)</f>
        <v>0</v>
      </c>
      <c r="AM55" s="133">
        <f>IF(AA55=0,0,(W55+AB55)/AA55)</f>
        <v>0</v>
      </c>
      <c r="AN55" s="122" t="str">
        <f>IF($W55=0,"-",(VLOOKUP($X55,AC,5)*$P55)/(W55+AB55))</f>
        <v>-</v>
      </c>
    </row>
    <row r="56" spans="2:40" ht="13.5" thickBot="1" x14ac:dyDescent="0.25">
      <c r="B56" s="1">
        <v>7</v>
      </c>
      <c r="C56" s="104" t="str">
        <f>E56&amp;"_"&amp;F56&amp;"_"&amp;G56</f>
        <v>Bonus - Kitchen Bundle B (2 - measures)_Foodservice Bundle B_Any 2 Kitchen equipment measures</v>
      </c>
      <c r="E56" s="113" t="s">
        <v>69</v>
      </c>
      <c r="F56" s="113" t="s">
        <v>70</v>
      </c>
      <c r="G56" s="113" t="s">
        <v>71</v>
      </c>
      <c r="H56" s="118">
        <v>0</v>
      </c>
      <c r="I56" s="177">
        <v>0</v>
      </c>
      <c r="J56" s="118">
        <v>0</v>
      </c>
      <c r="K56" s="116" t="s">
        <v>47</v>
      </c>
      <c r="L56" s="147" t="s">
        <v>250</v>
      </c>
      <c r="M56" s="147" t="s">
        <v>250</v>
      </c>
      <c r="N56" s="118">
        <f>J56</f>
        <v>0</v>
      </c>
      <c r="O56" s="118">
        <f>H56</f>
        <v>0</v>
      </c>
      <c r="P56" s="118">
        <f>$P$72*I56</f>
        <v>0</v>
      </c>
      <c r="Q56" s="125">
        <v>0</v>
      </c>
      <c r="R56" s="145" t="s">
        <v>250</v>
      </c>
      <c r="S56" s="125">
        <f>Q56</f>
        <v>0</v>
      </c>
      <c r="T56" s="125">
        <f>IFERROR(IF($D$2="Original",O56*Q56,O56*S56),0)</f>
        <v>0</v>
      </c>
      <c r="U56" s="125">
        <v>0</v>
      </c>
      <c r="V56" s="125">
        <f>0.1*$J56+PV($F$76,$X56,(-0.05*0.9*$J56))</f>
        <v>0</v>
      </c>
      <c r="W56" s="125">
        <f>IFERROR(IF($D$2="Original",MAX(0,O56*(Q56-U56-V56)),MAX(0,O56*(S56-U56-V56))),0)</f>
        <v>0</v>
      </c>
      <c r="X56" s="116">
        <v>0</v>
      </c>
      <c r="Y56" s="146" t="s">
        <v>250</v>
      </c>
      <c r="Z56" s="118">
        <f>X56</f>
        <v>0</v>
      </c>
      <c r="AA56" s="118">
        <f>IFERROR(IF($D$2="Original",PV($F$76,X56,-P56),PV($F$76,Z56,-P56)),0)</f>
        <v>0</v>
      </c>
      <c r="AB56" s="125">
        <f>I56*$AB$72</f>
        <v>0</v>
      </c>
      <c r="AC56" s="125">
        <v>150</v>
      </c>
      <c r="AD56" s="145" t="s">
        <v>250</v>
      </c>
      <c r="AE56" s="147" t="s">
        <v>250</v>
      </c>
      <c r="AF56" s="125">
        <f>AC56</f>
        <v>150</v>
      </c>
      <c r="AG56" s="125">
        <f>IFERROR(IF($D$2="Original",H56*AC56,H56*AF56),0)</f>
        <v>0</v>
      </c>
      <c r="AH56" s="132">
        <f>IF(ISERROR(AG56/AA56),0,AG56/AA56)</f>
        <v>0</v>
      </c>
      <c r="AI56" s="132">
        <f>IF(AA56=0,0,(AG56+AB56)/AA56)</f>
        <v>0</v>
      </c>
      <c r="AJ56" s="121" t="s">
        <v>442</v>
      </c>
      <c r="AK56" s="76"/>
      <c r="AL56" s="132">
        <f>IF(ISERROR(W56/AA56),0,W56/AA56)</f>
        <v>0</v>
      </c>
      <c r="AM56" s="132">
        <f>IF(AA56=0,0,(W56+AB56)/AA56)</f>
        <v>0</v>
      </c>
      <c r="AN56" s="121" t="str">
        <f>IF($W56=0,"-",(VLOOKUP($X56,AC,5)*$P56)/(W56+AB56))</f>
        <v>-</v>
      </c>
    </row>
    <row r="57" spans="2:40" ht="13.5" thickBot="1" x14ac:dyDescent="0.25">
      <c r="B57" s="1">
        <v>7</v>
      </c>
      <c r="C57" s="104" t="str">
        <f>E57&amp;"_"&amp;F57&amp;"_"&amp;G57</f>
        <v>Bonus - Kitchen Bundle B (2 - measures)_Foodservice Bundle B_Any 2 Kitchen equipment measures</v>
      </c>
      <c r="E57" s="114" t="s">
        <v>69</v>
      </c>
      <c r="F57" s="114" t="s">
        <v>70</v>
      </c>
      <c r="G57" s="114" t="s">
        <v>71</v>
      </c>
      <c r="H57" s="120">
        <v>6</v>
      </c>
      <c r="I57" s="178">
        <v>0</v>
      </c>
      <c r="J57" s="120">
        <v>0</v>
      </c>
      <c r="K57" s="117" t="s">
        <v>47</v>
      </c>
      <c r="L57" s="119" t="s">
        <v>250</v>
      </c>
      <c r="M57" s="119" t="s">
        <v>250</v>
      </c>
      <c r="N57" s="120">
        <f>J57</f>
        <v>0</v>
      </c>
      <c r="O57" s="120">
        <f>H57</f>
        <v>6</v>
      </c>
      <c r="P57" s="120">
        <f>$P$72*I57</f>
        <v>0</v>
      </c>
      <c r="Q57" s="126">
        <v>0</v>
      </c>
      <c r="R57" s="131" t="s">
        <v>250</v>
      </c>
      <c r="S57" s="126">
        <f>Q57</f>
        <v>0</v>
      </c>
      <c r="T57" s="126">
        <f>IFERROR(IF($D$2="Original",O57*Q57,O57*S57),0)</f>
        <v>0</v>
      </c>
      <c r="U57" s="126">
        <v>0</v>
      </c>
      <c r="V57" s="126">
        <f>0.1*$J57+PV($F$76,$X57,(-0.05*0.9*$J57))</f>
        <v>0</v>
      </c>
      <c r="W57" s="126">
        <f>IFERROR(IF($D$2="Original",MAX(0,O57*(Q57-U57-V57)),MAX(0,O57*(S57-U57-V57))),0)</f>
        <v>0</v>
      </c>
      <c r="X57" s="117">
        <v>0</v>
      </c>
      <c r="Y57" s="128" t="s">
        <v>250</v>
      </c>
      <c r="Z57" s="120">
        <f>X57</f>
        <v>0</v>
      </c>
      <c r="AA57" s="120">
        <f>IFERROR(IF($D$2="Original",PV($F$76,X57,-P57),PV($F$76,Z57,-P57)),0)</f>
        <v>0</v>
      </c>
      <c r="AB57" s="126">
        <f>I57*$AB$72</f>
        <v>0</v>
      </c>
      <c r="AC57" s="126">
        <v>300</v>
      </c>
      <c r="AD57" s="131" t="s">
        <v>250</v>
      </c>
      <c r="AE57" s="119" t="s">
        <v>250</v>
      </c>
      <c r="AF57" s="126">
        <f>AC57</f>
        <v>300</v>
      </c>
      <c r="AG57" s="126">
        <f>IFERROR(IF($D$2="Original",H57*AC57,H57*AF57),0)</f>
        <v>1800</v>
      </c>
      <c r="AH57" s="133">
        <f>IF(ISERROR(AG57/AA57),0,AG57/AA57)</f>
        <v>0</v>
      </c>
      <c r="AI57" s="133">
        <f>IF(AA57=0,0,(AG57+AB57)/AA57)</f>
        <v>0</v>
      </c>
      <c r="AJ57" s="122" t="s">
        <v>442</v>
      </c>
      <c r="AK57" s="76"/>
      <c r="AL57" s="133">
        <f>IF(ISERROR(W57/AA57),0,W57/AA57)</f>
        <v>0</v>
      </c>
      <c r="AM57" s="133">
        <f>IF(AA57=0,0,(W57+AB57)/AA57)</f>
        <v>0</v>
      </c>
      <c r="AN57" s="122" t="str">
        <f>IF($W57=0,"-",(VLOOKUP($X57,AC,5)*$P57)/(W57+AB57))</f>
        <v>-</v>
      </c>
    </row>
    <row r="58" spans="2:40" ht="13.5" thickBot="1" x14ac:dyDescent="0.25">
      <c r="B58" s="1">
        <v>7</v>
      </c>
      <c r="C58" s="104" t="str">
        <f>E58&amp;"_"&amp;F58&amp;"_"&amp;G58</f>
        <v>Bonus - Kitchen Bundle C (3 or more measures)_Foodservice Bundle C_Any 3 Kitchen equipment measures</v>
      </c>
      <c r="E58" s="113" t="s">
        <v>66</v>
      </c>
      <c r="F58" s="113" t="s">
        <v>67</v>
      </c>
      <c r="G58" s="113" t="s">
        <v>68</v>
      </c>
      <c r="H58" s="118">
        <v>0</v>
      </c>
      <c r="I58" s="177">
        <v>0</v>
      </c>
      <c r="J58" s="118">
        <v>0</v>
      </c>
      <c r="K58" s="116" t="s">
        <v>47</v>
      </c>
      <c r="L58" s="147" t="s">
        <v>250</v>
      </c>
      <c r="M58" s="147" t="s">
        <v>250</v>
      </c>
      <c r="N58" s="118">
        <f>J58</f>
        <v>0</v>
      </c>
      <c r="O58" s="118">
        <f>H58</f>
        <v>0</v>
      </c>
      <c r="P58" s="118">
        <f>$P$72*I58</f>
        <v>0</v>
      </c>
      <c r="Q58" s="125">
        <v>0</v>
      </c>
      <c r="R58" s="145" t="s">
        <v>250</v>
      </c>
      <c r="S58" s="125">
        <f>Q58</f>
        <v>0</v>
      </c>
      <c r="T58" s="125">
        <f>IFERROR(IF($D$2="Original",O58*Q58,O58*S58),0)</f>
        <v>0</v>
      </c>
      <c r="U58" s="125">
        <v>0</v>
      </c>
      <c r="V58" s="125">
        <f>0.1*$J58+PV($F$76,$X58,(-0.05*0.9*$J58))</f>
        <v>0</v>
      </c>
      <c r="W58" s="125">
        <f>IFERROR(IF($D$2="Original",MAX(0,O58*(Q58-U58-V58)),MAX(0,O58*(S58-U58-V58))),0)</f>
        <v>0</v>
      </c>
      <c r="X58" s="116">
        <v>0</v>
      </c>
      <c r="Y58" s="146" t="s">
        <v>250</v>
      </c>
      <c r="Z58" s="118">
        <f>X58</f>
        <v>0</v>
      </c>
      <c r="AA58" s="118">
        <f>IFERROR(IF($D$2="Original",PV($F$76,X58,-P58),PV($F$76,Z58,-P58)),0)</f>
        <v>0</v>
      </c>
      <c r="AB58" s="125">
        <f>I58*$AB$72</f>
        <v>0</v>
      </c>
      <c r="AC58" s="125">
        <v>300</v>
      </c>
      <c r="AD58" s="145" t="s">
        <v>250</v>
      </c>
      <c r="AE58" s="147" t="s">
        <v>250</v>
      </c>
      <c r="AF58" s="125">
        <f>AC58</f>
        <v>300</v>
      </c>
      <c r="AG58" s="125">
        <f>IFERROR(IF($D$2="Original",H58*AC58,H58*AF58),0)</f>
        <v>0</v>
      </c>
      <c r="AH58" s="132">
        <f>IF(ISERROR(AG58/AA58),0,AG58/AA58)</f>
        <v>0</v>
      </c>
      <c r="AI58" s="132">
        <f>IF(AA58=0,0,(AG58+AB58)/AA58)</f>
        <v>0</v>
      </c>
      <c r="AJ58" s="121" t="s">
        <v>442</v>
      </c>
      <c r="AK58" s="76"/>
      <c r="AL58" s="132">
        <f>IF(ISERROR(W58/AA58),0,W58/AA58)</f>
        <v>0</v>
      </c>
      <c r="AM58" s="132">
        <f>IF(AA58=0,0,(W58+AB58)/AA58)</f>
        <v>0</v>
      </c>
      <c r="AN58" s="121" t="str">
        <f>IF($W58=0,"-",(VLOOKUP($X58,AC,5)*$P58)/(W58+AB58))</f>
        <v>-</v>
      </c>
    </row>
    <row r="59" spans="2:40" ht="13.5" thickBot="1" x14ac:dyDescent="0.25">
      <c r="B59" s="1">
        <v>7</v>
      </c>
      <c r="C59" s="104" t="str">
        <f>E59&amp;"_"&amp;F59&amp;"_"&amp;G59</f>
        <v>Bonus - Kitchen Bundle C (3 or more measures)_Foodservice Bundle C_Any 3 Kitchen equipment measures</v>
      </c>
      <c r="E59" s="114" t="s">
        <v>66</v>
      </c>
      <c r="F59" s="114" t="s">
        <v>67</v>
      </c>
      <c r="G59" s="114" t="s">
        <v>68</v>
      </c>
      <c r="H59" s="120">
        <v>3</v>
      </c>
      <c r="I59" s="178">
        <v>0</v>
      </c>
      <c r="J59" s="120">
        <v>0</v>
      </c>
      <c r="K59" s="117" t="s">
        <v>47</v>
      </c>
      <c r="L59" s="119" t="s">
        <v>250</v>
      </c>
      <c r="M59" s="119" t="s">
        <v>250</v>
      </c>
      <c r="N59" s="120">
        <f>J59</f>
        <v>0</v>
      </c>
      <c r="O59" s="120">
        <f>H59</f>
        <v>3</v>
      </c>
      <c r="P59" s="120">
        <f>$P$72*I59</f>
        <v>0</v>
      </c>
      <c r="Q59" s="126">
        <v>0</v>
      </c>
      <c r="R59" s="131" t="s">
        <v>250</v>
      </c>
      <c r="S59" s="126">
        <f>Q59</f>
        <v>0</v>
      </c>
      <c r="T59" s="126">
        <f>IFERROR(IF($D$2="Original",O59*Q59,O59*S59),0)</f>
        <v>0</v>
      </c>
      <c r="U59" s="126">
        <v>0</v>
      </c>
      <c r="V59" s="126">
        <f>0.1*$J59+PV($F$76,$X59,(-0.05*0.9*$J59))</f>
        <v>0</v>
      </c>
      <c r="W59" s="126">
        <f>IFERROR(IF($D$2="Original",MAX(0,O59*(Q59-U59-V59)),MAX(0,O59*(S59-U59-V59))),0)</f>
        <v>0</v>
      </c>
      <c r="X59" s="117">
        <v>0</v>
      </c>
      <c r="Y59" s="128" t="s">
        <v>250</v>
      </c>
      <c r="Z59" s="120">
        <f>X59</f>
        <v>0</v>
      </c>
      <c r="AA59" s="120">
        <f>IFERROR(IF($D$2="Original",PV($F$76,X59,-P59),PV($F$76,Z59,-P59)),0)</f>
        <v>0</v>
      </c>
      <c r="AB59" s="126">
        <f>I59*$AB$72</f>
        <v>0</v>
      </c>
      <c r="AC59" s="126">
        <v>500</v>
      </c>
      <c r="AD59" s="131" t="s">
        <v>250</v>
      </c>
      <c r="AE59" s="119" t="s">
        <v>250</v>
      </c>
      <c r="AF59" s="126">
        <f>AC59</f>
        <v>500</v>
      </c>
      <c r="AG59" s="126">
        <f>IFERROR(IF($D$2="Original",H59*AC59,H59*AF59),0)</f>
        <v>1500</v>
      </c>
      <c r="AH59" s="133">
        <f>IF(ISERROR(AG59/AA59),0,AG59/AA59)</f>
        <v>0</v>
      </c>
      <c r="AI59" s="133">
        <f>IF(AA59=0,0,(AG59+AB59)/AA59)</f>
        <v>0</v>
      </c>
      <c r="AJ59" s="122" t="s">
        <v>442</v>
      </c>
      <c r="AK59" s="76"/>
      <c r="AL59" s="133">
        <f>IF(ISERROR(W59/AA59),0,W59/AA59)</f>
        <v>0</v>
      </c>
      <c r="AM59" s="133">
        <f>IF(AA59=0,0,(W59+AB59)/AA59)</f>
        <v>0</v>
      </c>
      <c r="AN59" s="122" t="str">
        <f>IF($W59=0,"-",(VLOOKUP($X59,AC,5)*$P59)/(W59+AB59))</f>
        <v>-</v>
      </c>
    </row>
    <row r="60" spans="2:40" s="3" customFormat="1" ht="14.25" customHeight="1" thickBot="1" x14ac:dyDescent="0.25">
      <c r="C60" s="104" t="str">
        <f>E60&amp;"_"&amp;F60&amp;"_"&amp;G60</f>
        <v>Custom Measures__</v>
      </c>
      <c r="D60" s="1"/>
      <c r="E60" s="143" t="s">
        <v>54</v>
      </c>
      <c r="F60" s="144"/>
      <c r="G60" s="144"/>
      <c r="H60" s="144"/>
      <c r="I60" s="179"/>
      <c r="J60" s="144"/>
      <c r="K60" s="144"/>
      <c r="L60" s="144"/>
      <c r="M60" s="144"/>
      <c r="N60" s="144"/>
      <c r="O60" s="144"/>
      <c r="P60" s="144"/>
      <c r="Q60" s="144"/>
      <c r="R60" s="144"/>
      <c r="S60" s="144"/>
      <c r="T60" s="144"/>
      <c r="U60" s="144"/>
      <c r="V60" s="144"/>
      <c r="W60" s="144"/>
      <c r="X60" s="144"/>
      <c r="Y60" s="144"/>
      <c r="Z60" s="144"/>
      <c r="AA60" s="144"/>
      <c r="AB60" s="144"/>
      <c r="AC60" s="144"/>
      <c r="AD60" s="144"/>
      <c r="AE60" s="144"/>
      <c r="AF60" s="144"/>
      <c r="AG60" s="144"/>
      <c r="AH60" s="144"/>
      <c r="AI60" s="144"/>
      <c r="AJ60" s="144"/>
      <c r="AK60" s="144"/>
      <c r="AL60" s="144"/>
      <c r="AM60" s="144"/>
      <c r="AN60" s="144"/>
    </row>
    <row r="61" spans="2:40" s="3" customFormat="1" ht="23.25" customHeight="1" thickBot="1" x14ac:dyDescent="0.25">
      <c r="C61" s="104"/>
      <c r="D61" s="1"/>
      <c r="E61" s="114" t="s">
        <v>452</v>
      </c>
      <c r="F61" s="114"/>
      <c r="G61" s="114"/>
      <c r="H61" s="120"/>
      <c r="I61" s="178">
        <v>0.36059999999999998</v>
      </c>
      <c r="J61" s="120"/>
      <c r="K61" s="117"/>
      <c r="L61" s="119" t="s">
        <v>250</v>
      </c>
      <c r="M61" s="119" t="s">
        <v>250</v>
      </c>
      <c r="N61" s="120" t="s">
        <v>250</v>
      </c>
      <c r="O61" s="120"/>
      <c r="P61" s="120">
        <f>I61*P72</f>
        <v>151257.6366</v>
      </c>
      <c r="Q61" s="126">
        <f>SUM(Q62:Q71)/SUM(J62:J71)</f>
        <v>9.6747241198108256</v>
      </c>
      <c r="R61" s="131" t="s">
        <v>250</v>
      </c>
      <c r="S61" s="126">
        <f>Q61</f>
        <v>9.6747241198108256</v>
      </c>
      <c r="T61" s="126">
        <f>S61*P61</f>
        <v>1463375.9051196007</v>
      </c>
      <c r="U61" s="126">
        <v>0</v>
      </c>
      <c r="V61" s="126">
        <f>SUM(Q62:Q71)</f>
        <v>312987</v>
      </c>
      <c r="W61" s="126">
        <f>T61-V61</f>
        <v>1150388.9051196007</v>
      </c>
      <c r="X61" s="117" t="s">
        <v>250</v>
      </c>
      <c r="Y61" s="128" t="s">
        <v>250</v>
      </c>
      <c r="Z61" s="117">
        <f>SUMPRODUCT(J62:J71,X62:X71)/SUM(J62:J71)</f>
        <v>14.316218973138389</v>
      </c>
      <c r="AA61" s="120">
        <f>PV($F$76,Z61,-P61)</f>
        <v>1692246.5030827778</v>
      </c>
      <c r="AB61" s="126">
        <f>AB72*I61</f>
        <v>515522.05379999999</v>
      </c>
      <c r="AC61" s="126">
        <f>SUM(AC62:AC71)/SUM(J62:J71)</f>
        <v>1.8117214305585607</v>
      </c>
      <c r="AD61" s="131" t="s">
        <v>250</v>
      </c>
      <c r="AE61" s="119" t="s">
        <v>460</v>
      </c>
      <c r="AF61" s="126">
        <f>AC61</f>
        <v>1.8117214305585607</v>
      </c>
      <c r="AG61" s="126">
        <f>AF61*P61</f>
        <v>274036.7017638589</v>
      </c>
      <c r="AH61" s="133">
        <f>IF(ISERROR(AG61/AA61),0,AG61/AA61)</f>
        <v>0.16193663350146933</v>
      </c>
      <c r="AI61" s="133">
        <f>IF(AA61=0,0,(AG61+AB61)/AA61)</f>
        <v>0.46657431652274889</v>
      </c>
      <c r="AJ61" s="122">
        <f>IF($AG61=0,"-",(VLOOKUP($Z61,AC,7)*$P61)/($AG61+$AB61))</f>
        <v>2.699747920441196</v>
      </c>
      <c r="AK61" s="76"/>
      <c r="AL61" s="133">
        <f>IF(ISERROR(W61/AA61),0,W61/AA61)</f>
        <v>0.67979984182205655</v>
      </c>
      <c r="AM61" s="133">
        <f>IF(AA61=0,0,(W61+AB61)/AA61)</f>
        <v>0.98443752484333602</v>
      </c>
      <c r="AN61" s="122">
        <f>IF($W61=0,"-",(VLOOKUP($Z61,AC,5)*$P61)/(W61+AB61))</f>
        <v>1.1632235842807084</v>
      </c>
    </row>
    <row r="62" spans="2:40" s="3" customFormat="1" ht="13.5" customHeight="1" thickBot="1" x14ac:dyDescent="0.25">
      <c r="C62" s="104" t="str">
        <f>E62&amp;"_"&amp;F62&amp;"_"&amp;G62</f>
        <v>007897-C-LODGING FACILITY__Custom Other - Laundrey Ozone Injection System</v>
      </c>
      <c r="D62" s="213"/>
      <c r="E62" s="113" t="s">
        <v>182</v>
      </c>
      <c r="F62" s="113"/>
      <c r="G62" s="113" t="s">
        <v>172</v>
      </c>
      <c r="H62" s="118"/>
      <c r="I62" s="118"/>
      <c r="J62" s="118">
        <v>4678</v>
      </c>
      <c r="K62" s="116" t="s">
        <v>47</v>
      </c>
      <c r="L62" s="147" t="s">
        <v>250</v>
      </c>
      <c r="M62" s="147" t="s">
        <v>250</v>
      </c>
      <c r="N62" s="118" t="s">
        <v>250</v>
      </c>
      <c r="O62" s="118">
        <v>0</v>
      </c>
      <c r="P62" s="118">
        <v>0</v>
      </c>
      <c r="Q62" s="125">
        <v>17295</v>
      </c>
      <c r="R62" s="145" t="s">
        <v>250</v>
      </c>
      <c r="S62" s="125" t="s">
        <v>250</v>
      </c>
      <c r="T62" s="125" t="s">
        <v>250</v>
      </c>
      <c r="U62" s="125" t="s">
        <v>250</v>
      </c>
      <c r="V62" s="125" t="s">
        <v>250</v>
      </c>
      <c r="W62" s="125" t="s">
        <v>250</v>
      </c>
      <c r="X62" s="116">
        <v>10</v>
      </c>
      <c r="Y62" s="146" t="s">
        <v>250</v>
      </c>
      <c r="Z62" s="116">
        <f>X62</f>
        <v>10</v>
      </c>
      <c r="AA62" s="118">
        <v>0</v>
      </c>
      <c r="AB62" s="125">
        <v>0</v>
      </c>
      <c r="AC62" s="125">
        <v>2582</v>
      </c>
      <c r="AD62" s="145" t="s">
        <v>250</v>
      </c>
      <c r="AE62" s="147" t="s">
        <v>250</v>
      </c>
      <c r="AF62" s="125" t="s">
        <v>250</v>
      </c>
      <c r="AG62" s="125" t="s">
        <v>250</v>
      </c>
      <c r="AH62" s="125" t="s">
        <v>250</v>
      </c>
      <c r="AI62" s="125" t="s">
        <v>250</v>
      </c>
      <c r="AJ62" s="125" t="s">
        <v>250</v>
      </c>
      <c r="AK62" s="76"/>
      <c r="AL62" s="132" t="s">
        <v>250</v>
      </c>
      <c r="AM62" s="132" t="s">
        <v>250</v>
      </c>
      <c r="AN62" s="132" t="s">
        <v>250</v>
      </c>
    </row>
    <row r="63" spans="2:40" s="3" customFormat="1" ht="13.5" customHeight="1" thickBot="1" x14ac:dyDescent="0.25">
      <c r="C63" s="104" t="str">
        <f>E63&amp;"_"&amp;F63&amp;"_"&amp;G63</f>
        <v>008011-C-ELEMENTARY SCHOOL__Custom Other - Combi Ovens</v>
      </c>
      <c r="D63" s="214"/>
      <c r="E63" s="114" t="s">
        <v>185</v>
      </c>
      <c r="F63" s="114"/>
      <c r="G63" s="114" t="s">
        <v>173</v>
      </c>
      <c r="H63" s="120"/>
      <c r="I63" s="120"/>
      <c r="J63" s="120">
        <v>497</v>
      </c>
      <c r="K63" s="117" t="s">
        <v>47</v>
      </c>
      <c r="L63" s="119" t="s">
        <v>250</v>
      </c>
      <c r="M63" s="119" t="s">
        <v>250</v>
      </c>
      <c r="N63" s="120" t="s">
        <v>250</v>
      </c>
      <c r="O63" s="120">
        <v>0</v>
      </c>
      <c r="P63" s="120">
        <v>0</v>
      </c>
      <c r="Q63" s="126">
        <v>9000</v>
      </c>
      <c r="R63" s="131" t="s">
        <v>250</v>
      </c>
      <c r="S63" s="126" t="s">
        <v>250</v>
      </c>
      <c r="T63" s="126" t="s">
        <v>250</v>
      </c>
      <c r="U63" s="126" t="s">
        <v>250</v>
      </c>
      <c r="V63" s="126" t="s">
        <v>250</v>
      </c>
      <c r="W63" s="126" t="s">
        <v>250</v>
      </c>
      <c r="X63" s="117">
        <v>12</v>
      </c>
      <c r="Y63" s="128" t="s">
        <v>250</v>
      </c>
      <c r="Z63" s="117">
        <f>X63</f>
        <v>12</v>
      </c>
      <c r="AA63" s="120">
        <v>0</v>
      </c>
      <c r="AB63" s="126">
        <v>0</v>
      </c>
      <c r="AC63" s="126">
        <v>636</v>
      </c>
      <c r="AD63" s="131" t="s">
        <v>250</v>
      </c>
      <c r="AE63" s="119" t="s">
        <v>250</v>
      </c>
      <c r="AF63" s="126" t="s">
        <v>250</v>
      </c>
      <c r="AG63" s="126" t="s">
        <v>250</v>
      </c>
      <c r="AH63" s="126" t="s">
        <v>250</v>
      </c>
      <c r="AI63" s="126" t="s">
        <v>250</v>
      </c>
      <c r="AJ63" s="126" t="s">
        <v>250</v>
      </c>
      <c r="AK63" s="76"/>
      <c r="AL63" s="133" t="s">
        <v>250</v>
      </c>
      <c r="AM63" s="133" t="s">
        <v>250</v>
      </c>
      <c r="AN63" s="133" t="s">
        <v>250</v>
      </c>
    </row>
    <row r="64" spans="2:40" s="3" customFormat="1" ht="13.5" customHeight="1" thickBot="1" x14ac:dyDescent="0.25">
      <c r="C64" s="104" t="str">
        <f>E64&amp;"_"&amp;F64&amp;"_"&amp;G64</f>
        <v>007857-C-SCHOOL DISTRICT ZONE 1__Custom DDC Controls - Custom DDC Controls</v>
      </c>
      <c r="D64" s="214"/>
      <c r="E64" s="113" t="s">
        <v>183</v>
      </c>
      <c r="F64" s="113"/>
      <c r="G64" s="113" t="s">
        <v>174</v>
      </c>
      <c r="H64" s="118"/>
      <c r="I64" s="118"/>
      <c r="J64" s="118">
        <v>11758</v>
      </c>
      <c r="K64" s="116" t="s">
        <v>47</v>
      </c>
      <c r="L64" s="147" t="s">
        <v>250</v>
      </c>
      <c r="M64" s="147" t="s">
        <v>250</v>
      </c>
      <c r="N64" s="118" t="s">
        <v>250</v>
      </c>
      <c r="O64" s="118">
        <v>0</v>
      </c>
      <c r="P64" s="118">
        <v>0</v>
      </c>
      <c r="Q64" s="125">
        <v>153200</v>
      </c>
      <c r="R64" s="145" t="s">
        <v>250</v>
      </c>
      <c r="S64" s="125" t="s">
        <v>250</v>
      </c>
      <c r="T64" s="125" t="s">
        <v>250</v>
      </c>
      <c r="U64" s="125" t="s">
        <v>250</v>
      </c>
      <c r="V64" s="125" t="s">
        <v>250</v>
      </c>
      <c r="W64" s="125" t="s">
        <v>250</v>
      </c>
      <c r="X64" s="116">
        <v>15</v>
      </c>
      <c r="Y64" s="146" t="s">
        <v>250</v>
      </c>
      <c r="Z64" s="116">
        <f>X64</f>
        <v>15</v>
      </c>
      <c r="AA64" s="118">
        <v>0</v>
      </c>
      <c r="AB64" s="125">
        <v>0</v>
      </c>
      <c r="AC64" s="125">
        <v>20929</v>
      </c>
      <c r="AD64" s="145" t="s">
        <v>250</v>
      </c>
      <c r="AE64" s="147" t="s">
        <v>250</v>
      </c>
      <c r="AF64" s="125" t="s">
        <v>250</v>
      </c>
      <c r="AG64" s="125" t="s">
        <v>250</v>
      </c>
      <c r="AH64" s="125" t="s">
        <v>250</v>
      </c>
      <c r="AI64" s="125" t="s">
        <v>250</v>
      </c>
      <c r="AJ64" s="125" t="s">
        <v>250</v>
      </c>
      <c r="AK64" s="76"/>
      <c r="AL64" s="132" t="s">
        <v>250</v>
      </c>
      <c r="AM64" s="132" t="s">
        <v>250</v>
      </c>
      <c r="AN64" s="132" t="s">
        <v>250</v>
      </c>
    </row>
    <row r="65" spans="3:40" s="3" customFormat="1" ht="13.5" customHeight="1" thickBot="1" x14ac:dyDescent="0.25">
      <c r="C65" s="104" t="str">
        <f>E65&amp;"_"&amp;F65&amp;"_"&amp;G65</f>
        <v>008286-C-SCHOOL DISTRICT ZONE 2__Custom Heat Recovery - AHU Heat Recovery</v>
      </c>
      <c r="D65" s="214"/>
      <c r="E65" s="114" t="s">
        <v>184</v>
      </c>
      <c r="F65" s="114"/>
      <c r="G65" s="114" t="s">
        <v>175</v>
      </c>
      <c r="H65" s="120"/>
      <c r="I65" s="120"/>
      <c r="J65" s="120">
        <v>1467</v>
      </c>
      <c r="K65" s="117" t="s">
        <v>47</v>
      </c>
      <c r="L65" s="119" t="s">
        <v>250</v>
      </c>
      <c r="M65" s="119" t="s">
        <v>250</v>
      </c>
      <c r="N65" s="120" t="s">
        <v>250</v>
      </c>
      <c r="O65" s="120">
        <v>0</v>
      </c>
      <c r="P65" s="120">
        <v>0</v>
      </c>
      <c r="Q65" s="126">
        <v>9500</v>
      </c>
      <c r="R65" s="131" t="s">
        <v>250</v>
      </c>
      <c r="S65" s="126" t="s">
        <v>250</v>
      </c>
      <c r="T65" s="126" t="s">
        <v>250</v>
      </c>
      <c r="U65" s="126" t="s">
        <v>250</v>
      </c>
      <c r="V65" s="126" t="s">
        <v>250</v>
      </c>
      <c r="W65" s="126" t="s">
        <v>250</v>
      </c>
      <c r="X65" s="117">
        <v>15</v>
      </c>
      <c r="Y65" s="128" t="s">
        <v>250</v>
      </c>
      <c r="Z65" s="117">
        <f>X65</f>
        <v>15</v>
      </c>
      <c r="AA65" s="120">
        <v>0</v>
      </c>
      <c r="AB65" s="126">
        <v>0</v>
      </c>
      <c r="AC65" s="126">
        <v>3368</v>
      </c>
      <c r="AD65" s="131" t="s">
        <v>250</v>
      </c>
      <c r="AE65" s="119" t="s">
        <v>250</v>
      </c>
      <c r="AF65" s="126" t="s">
        <v>250</v>
      </c>
      <c r="AG65" s="126" t="s">
        <v>250</v>
      </c>
      <c r="AH65" s="126" t="s">
        <v>250</v>
      </c>
      <c r="AI65" s="126" t="s">
        <v>250</v>
      </c>
      <c r="AJ65" s="126" t="s">
        <v>250</v>
      </c>
      <c r="AK65" s="76"/>
      <c r="AL65" s="133" t="s">
        <v>250</v>
      </c>
      <c r="AM65" s="133" t="s">
        <v>250</v>
      </c>
      <c r="AN65" s="133" t="s">
        <v>250</v>
      </c>
    </row>
    <row r="66" spans="3:40" s="3" customFormat="1" ht="26.25" customHeight="1" thickBot="1" x14ac:dyDescent="0.25">
      <c r="C66" s="104" t="str">
        <f>E66&amp;"_"&amp;F66&amp;"_"&amp;G66</f>
        <v>008011-C-ELEMENTARY SCHOOL__Custom Hood System M/U Air Reduction - CaptiveAire Hood MUA DCV Control</v>
      </c>
      <c r="D66" s="214" t="s">
        <v>463</v>
      </c>
      <c r="E66" s="113" t="s">
        <v>185</v>
      </c>
      <c r="F66" s="113"/>
      <c r="G66" s="113" t="s">
        <v>176</v>
      </c>
      <c r="H66" s="118"/>
      <c r="I66" s="118"/>
      <c r="J66" s="118">
        <v>814</v>
      </c>
      <c r="K66" s="116" t="s">
        <v>47</v>
      </c>
      <c r="L66" s="147" t="s">
        <v>250</v>
      </c>
      <c r="M66" s="147" t="s">
        <v>250</v>
      </c>
      <c r="N66" s="118" t="s">
        <v>250</v>
      </c>
      <c r="O66" s="118">
        <v>0</v>
      </c>
      <c r="P66" s="118">
        <v>0</v>
      </c>
      <c r="Q66" s="125">
        <v>2493</v>
      </c>
      <c r="R66" s="145" t="s">
        <v>250</v>
      </c>
      <c r="S66" s="125" t="s">
        <v>250</v>
      </c>
      <c r="T66" s="125" t="s">
        <v>250</v>
      </c>
      <c r="U66" s="125" t="s">
        <v>250</v>
      </c>
      <c r="V66" s="125" t="s">
        <v>250</v>
      </c>
      <c r="W66" s="125" t="s">
        <v>250</v>
      </c>
      <c r="X66" s="116">
        <v>15</v>
      </c>
      <c r="Y66" s="146" t="s">
        <v>250</v>
      </c>
      <c r="Z66" s="116">
        <f>X66</f>
        <v>15</v>
      </c>
      <c r="AA66" s="118">
        <v>0</v>
      </c>
      <c r="AB66" s="125">
        <v>0</v>
      </c>
      <c r="AC66" s="125">
        <v>1869</v>
      </c>
      <c r="AD66" s="145" t="s">
        <v>250</v>
      </c>
      <c r="AE66" s="147" t="s">
        <v>250</v>
      </c>
      <c r="AF66" s="125" t="s">
        <v>250</v>
      </c>
      <c r="AG66" s="125" t="s">
        <v>250</v>
      </c>
      <c r="AH66" s="125" t="s">
        <v>250</v>
      </c>
      <c r="AI66" s="125" t="s">
        <v>250</v>
      </c>
      <c r="AJ66" s="125" t="s">
        <v>250</v>
      </c>
      <c r="AK66" s="76"/>
      <c r="AL66" s="132" t="s">
        <v>250</v>
      </c>
      <c r="AM66" s="132" t="s">
        <v>250</v>
      </c>
      <c r="AN66" s="132" t="s">
        <v>250</v>
      </c>
    </row>
    <row r="67" spans="3:40" s="3" customFormat="1" ht="13.5" customHeight="1" thickBot="1" x14ac:dyDescent="0.25">
      <c r="C67" s="104" t="str">
        <f>E67&amp;"_"&amp;F67&amp;"_"&amp;G67</f>
        <v>008011-C-ELEMENTARY SCHOOL__Custom Other - ERV Units</v>
      </c>
      <c r="D67" s="214"/>
      <c r="E67" s="114" t="s">
        <v>185</v>
      </c>
      <c r="F67" s="114"/>
      <c r="G67" s="114" t="s">
        <v>177</v>
      </c>
      <c r="H67" s="120"/>
      <c r="I67" s="120"/>
      <c r="J67" s="120">
        <v>2134</v>
      </c>
      <c r="K67" s="117" t="s">
        <v>47</v>
      </c>
      <c r="L67" s="119" t="s">
        <v>250</v>
      </c>
      <c r="M67" s="119" t="s">
        <v>250</v>
      </c>
      <c r="N67" s="120" t="s">
        <v>250</v>
      </c>
      <c r="O67" s="120">
        <v>0</v>
      </c>
      <c r="P67" s="120">
        <v>0</v>
      </c>
      <c r="Q67" s="126">
        <v>18000</v>
      </c>
      <c r="R67" s="131" t="s">
        <v>250</v>
      </c>
      <c r="S67" s="126" t="s">
        <v>250</v>
      </c>
      <c r="T67" s="126" t="s">
        <v>250</v>
      </c>
      <c r="U67" s="126" t="s">
        <v>250</v>
      </c>
      <c r="V67" s="126" t="s">
        <v>250</v>
      </c>
      <c r="W67" s="126" t="s">
        <v>250</v>
      </c>
      <c r="X67" s="117">
        <v>15</v>
      </c>
      <c r="Y67" s="128" t="s">
        <v>250</v>
      </c>
      <c r="Z67" s="117">
        <f>X67</f>
        <v>15</v>
      </c>
      <c r="AA67" s="120">
        <v>0</v>
      </c>
      <c r="AB67" s="126">
        <v>0</v>
      </c>
      <c r="AC67" s="126">
        <v>4900</v>
      </c>
      <c r="AD67" s="131" t="s">
        <v>250</v>
      </c>
      <c r="AE67" s="119" t="s">
        <v>250</v>
      </c>
      <c r="AF67" s="126" t="s">
        <v>250</v>
      </c>
      <c r="AG67" s="126" t="s">
        <v>250</v>
      </c>
      <c r="AH67" s="126" t="s">
        <v>250</v>
      </c>
      <c r="AI67" s="126" t="s">
        <v>250</v>
      </c>
      <c r="AJ67" s="126" t="s">
        <v>250</v>
      </c>
      <c r="AK67" s="76"/>
      <c r="AL67" s="133" t="s">
        <v>250</v>
      </c>
      <c r="AM67" s="133" t="s">
        <v>250</v>
      </c>
      <c r="AN67" s="133" t="s">
        <v>250</v>
      </c>
    </row>
    <row r="68" spans="3:40" s="3" customFormat="1" ht="13.5" customHeight="1" thickBot="1" x14ac:dyDescent="0.25">
      <c r="C68" s="104" t="str">
        <f>E68&amp;"_"&amp;F68&amp;"_"&amp;G68</f>
        <v>008001-C-SCHOOL DISTRICT__Custom Other - Custom Air Handling Units</v>
      </c>
      <c r="D68" s="214"/>
      <c r="E68" s="113" t="s">
        <v>186</v>
      </c>
      <c r="F68" s="113"/>
      <c r="G68" s="113" t="s">
        <v>178</v>
      </c>
      <c r="H68" s="118"/>
      <c r="I68" s="118"/>
      <c r="J68" s="118">
        <v>1070</v>
      </c>
      <c r="K68" s="116" t="s">
        <v>47</v>
      </c>
      <c r="L68" s="147" t="s">
        <v>250</v>
      </c>
      <c r="M68" s="147" t="s">
        <v>250</v>
      </c>
      <c r="N68" s="118" t="s">
        <v>250</v>
      </c>
      <c r="O68" s="118">
        <v>0</v>
      </c>
      <c r="P68" s="118">
        <v>0</v>
      </c>
      <c r="Q68" s="125">
        <v>20000</v>
      </c>
      <c r="R68" s="145" t="s">
        <v>250</v>
      </c>
      <c r="S68" s="125" t="s">
        <v>250</v>
      </c>
      <c r="T68" s="125" t="s">
        <v>250</v>
      </c>
      <c r="U68" s="125" t="s">
        <v>250</v>
      </c>
      <c r="V68" s="125" t="s">
        <v>250</v>
      </c>
      <c r="W68" s="125" t="s">
        <v>250</v>
      </c>
      <c r="X68" s="116">
        <v>15</v>
      </c>
      <c r="Y68" s="146" t="s">
        <v>250</v>
      </c>
      <c r="Z68" s="116">
        <f>X68</f>
        <v>15</v>
      </c>
      <c r="AA68" s="118">
        <v>0</v>
      </c>
      <c r="AB68" s="125">
        <v>0</v>
      </c>
      <c r="AC68" s="125">
        <v>2457</v>
      </c>
      <c r="AD68" s="145" t="s">
        <v>250</v>
      </c>
      <c r="AE68" s="147" t="s">
        <v>250</v>
      </c>
      <c r="AF68" s="125" t="s">
        <v>250</v>
      </c>
      <c r="AG68" s="125" t="s">
        <v>250</v>
      </c>
      <c r="AH68" s="125" t="s">
        <v>250</v>
      </c>
      <c r="AI68" s="125" t="s">
        <v>250</v>
      </c>
      <c r="AJ68" s="125" t="s">
        <v>250</v>
      </c>
      <c r="AK68" s="76"/>
      <c r="AL68" s="132" t="s">
        <v>250</v>
      </c>
      <c r="AM68" s="132" t="s">
        <v>250</v>
      </c>
      <c r="AN68" s="132" t="s">
        <v>250</v>
      </c>
    </row>
    <row r="69" spans="3:40" s="3" customFormat="1" ht="26.25" customHeight="1" thickBot="1" x14ac:dyDescent="0.25">
      <c r="C69" s="104" t="str">
        <f>E69&amp;"_"&amp;F69&amp;"_"&amp;G69</f>
        <v>008304-C-MIDDLE SCHOOL__Custom DDC Controls - HVAC Control Optimization</v>
      </c>
      <c r="D69" s="214"/>
      <c r="E69" s="114" t="s">
        <v>187</v>
      </c>
      <c r="F69" s="114"/>
      <c r="G69" s="114" t="s">
        <v>179</v>
      </c>
      <c r="H69" s="120"/>
      <c r="I69" s="120"/>
      <c r="J69" s="120">
        <v>2745</v>
      </c>
      <c r="K69" s="117" t="s">
        <v>47</v>
      </c>
      <c r="L69" s="119" t="s">
        <v>250</v>
      </c>
      <c r="M69" s="119" t="s">
        <v>250</v>
      </c>
      <c r="N69" s="120" t="s">
        <v>250</v>
      </c>
      <c r="O69" s="120">
        <v>0</v>
      </c>
      <c r="P69" s="120">
        <v>0</v>
      </c>
      <c r="Q69" s="126">
        <v>16279</v>
      </c>
      <c r="R69" s="131" t="s">
        <v>250</v>
      </c>
      <c r="S69" s="126" t="s">
        <v>250</v>
      </c>
      <c r="T69" s="126" t="s">
        <v>250</v>
      </c>
      <c r="U69" s="126" t="s">
        <v>250</v>
      </c>
      <c r="V69" s="126" t="s">
        <v>250</v>
      </c>
      <c r="W69" s="126" t="s">
        <v>250</v>
      </c>
      <c r="X69" s="117">
        <v>15</v>
      </c>
      <c r="Y69" s="128" t="s">
        <v>250</v>
      </c>
      <c r="Z69" s="117">
        <f>X69</f>
        <v>15</v>
      </c>
      <c r="AA69" s="120">
        <v>0</v>
      </c>
      <c r="AB69" s="126">
        <v>0</v>
      </c>
      <c r="AC69" s="126">
        <v>4884</v>
      </c>
      <c r="AD69" s="131" t="s">
        <v>250</v>
      </c>
      <c r="AE69" s="119" t="s">
        <v>250</v>
      </c>
      <c r="AF69" s="126" t="s">
        <v>250</v>
      </c>
      <c r="AG69" s="126" t="s">
        <v>250</v>
      </c>
      <c r="AH69" s="126" t="s">
        <v>250</v>
      </c>
      <c r="AI69" s="126" t="s">
        <v>250</v>
      </c>
      <c r="AJ69" s="126" t="s">
        <v>250</v>
      </c>
      <c r="AK69" s="76"/>
      <c r="AL69" s="133" t="s">
        <v>250</v>
      </c>
      <c r="AM69" s="133" t="s">
        <v>250</v>
      </c>
      <c r="AN69" s="133" t="s">
        <v>250</v>
      </c>
    </row>
    <row r="70" spans="3:40" s="3" customFormat="1" ht="13.5" customHeight="1" thickBot="1" x14ac:dyDescent="0.25">
      <c r="C70" s="104" t="str">
        <f>E70&amp;"_"&amp;F70&amp;"_"&amp;G70</f>
        <v>008339-C-SCHOOL DIST 2__Custom Other - DOAS units</v>
      </c>
      <c r="D70" s="214"/>
      <c r="E70" s="113" t="s">
        <v>188</v>
      </c>
      <c r="F70" s="113"/>
      <c r="G70" s="113" t="s">
        <v>180</v>
      </c>
      <c r="H70" s="118"/>
      <c r="I70" s="118"/>
      <c r="J70" s="118">
        <v>7004</v>
      </c>
      <c r="K70" s="116" t="s">
        <v>47</v>
      </c>
      <c r="L70" s="147" t="s">
        <v>250</v>
      </c>
      <c r="M70" s="147" t="s">
        <v>250</v>
      </c>
      <c r="N70" s="118" t="s">
        <v>250</v>
      </c>
      <c r="O70" s="118">
        <v>0</v>
      </c>
      <c r="P70" s="118">
        <v>0</v>
      </c>
      <c r="Q70" s="125">
        <v>64000</v>
      </c>
      <c r="R70" s="145" t="s">
        <v>250</v>
      </c>
      <c r="S70" s="125" t="s">
        <v>250</v>
      </c>
      <c r="T70" s="125" t="s">
        <v>250</v>
      </c>
      <c r="U70" s="125" t="s">
        <v>250</v>
      </c>
      <c r="V70" s="125" t="s">
        <v>250</v>
      </c>
      <c r="W70" s="125" t="s">
        <v>250</v>
      </c>
      <c r="X70" s="116">
        <v>15</v>
      </c>
      <c r="Y70" s="146" t="s">
        <v>250</v>
      </c>
      <c r="Z70" s="116">
        <f>X70</f>
        <v>15</v>
      </c>
      <c r="AA70" s="118">
        <v>0</v>
      </c>
      <c r="AB70" s="125">
        <v>0</v>
      </c>
      <c r="AC70" s="125">
        <v>16081</v>
      </c>
      <c r="AD70" s="145" t="s">
        <v>250</v>
      </c>
      <c r="AE70" s="147" t="s">
        <v>250</v>
      </c>
      <c r="AF70" s="125" t="s">
        <v>250</v>
      </c>
      <c r="AG70" s="125" t="s">
        <v>250</v>
      </c>
      <c r="AH70" s="125" t="s">
        <v>250</v>
      </c>
      <c r="AI70" s="125" t="s">
        <v>250</v>
      </c>
      <c r="AJ70" s="125" t="s">
        <v>250</v>
      </c>
      <c r="AK70" s="76"/>
      <c r="AL70" s="132" t="s">
        <v>250</v>
      </c>
      <c r="AM70" s="132" t="s">
        <v>250</v>
      </c>
      <c r="AN70" s="132" t="s">
        <v>250</v>
      </c>
    </row>
    <row r="71" spans="3:40" s="3" customFormat="1" ht="13.5" customHeight="1" thickBot="1" x14ac:dyDescent="0.25">
      <c r="C71" s="104" t="str">
        <f>E71&amp;"_"&amp;F71&amp;"_"&amp;G71</f>
        <v>007926-C-PUBLISHER__Custom Insulation - Crawl Space Insulation</v>
      </c>
      <c r="D71" s="214"/>
      <c r="E71" s="114" t="s">
        <v>189</v>
      </c>
      <c r="F71" s="114"/>
      <c r="G71" s="114" t="s">
        <v>181</v>
      </c>
      <c r="H71" s="120"/>
      <c r="I71" s="120"/>
      <c r="J71" s="120">
        <v>184</v>
      </c>
      <c r="K71" s="117" t="s">
        <v>47</v>
      </c>
      <c r="L71" s="119" t="s">
        <v>250</v>
      </c>
      <c r="M71" s="119" t="s">
        <v>250</v>
      </c>
      <c r="N71" s="120" t="s">
        <v>250</v>
      </c>
      <c r="O71" s="120">
        <v>0</v>
      </c>
      <c r="P71" s="120">
        <v>0</v>
      </c>
      <c r="Q71" s="126">
        <v>3220</v>
      </c>
      <c r="R71" s="131" t="s">
        <v>250</v>
      </c>
      <c r="S71" s="126" t="s">
        <v>250</v>
      </c>
      <c r="T71" s="126" t="s">
        <v>250</v>
      </c>
      <c r="U71" s="126" t="s">
        <v>250</v>
      </c>
      <c r="V71" s="126" t="s">
        <v>250</v>
      </c>
      <c r="W71" s="126" t="s">
        <v>250</v>
      </c>
      <c r="X71" s="117">
        <v>30</v>
      </c>
      <c r="Y71" s="128" t="s">
        <v>250</v>
      </c>
      <c r="Z71" s="117">
        <f>X71</f>
        <v>30</v>
      </c>
      <c r="AA71" s="120">
        <v>0</v>
      </c>
      <c r="AB71" s="126">
        <v>0</v>
      </c>
      <c r="AC71" s="126">
        <v>905</v>
      </c>
      <c r="AD71" s="131" t="s">
        <v>250</v>
      </c>
      <c r="AE71" s="119" t="s">
        <v>250</v>
      </c>
      <c r="AF71" s="126" t="s">
        <v>250</v>
      </c>
      <c r="AG71" s="126" t="s">
        <v>250</v>
      </c>
      <c r="AH71" s="126" t="s">
        <v>250</v>
      </c>
      <c r="AI71" s="126" t="s">
        <v>250</v>
      </c>
      <c r="AJ71" s="126" t="s">
        <v>250</v>
      </c>
      <c r="AK71" s="76"/>
      <c r="AL71" s="133" t="s">
        <v>250</v>
      </c>
      <c r="AM71" s="133" t="s">
        <v>250</v>
      </c>
      <c r="AN71" s="133" t="s">
        <v>250</v>
      </c>
    </row>
    <row r="72" spans="3:40" ht="29.45" customHeight="1" thickBot="1" x14ac:dyDescent="0.25">
      <c r="E72" s="115" t="s">
        <v>1</v>
      </c>
      <c r="F72" s="115"/>
      <c r="G72" s="115"/>
      <c r="H72" s="129"/>
      <c r="I72" s="129"/>
      <c r="J72" s="115"/>
      <c r="K72" s="115"/>
      <c r="L72" s="115"/>
      <c r="M72" s="115"/>
      <c r="N72" s="115"/>
      <c r="O72" s="115"/>
      <c r="P72" s="124">
        <v>419461</v>
      </c>
      <c r="Q72" s="115"/>
      <c r="R72" s="115"/>
      <c r="S72" s="115"/>
      <c r="T72" s="130">
        <f>SUM(T6:T61)</f>
        <v>2981810.4703210685</v>
      </c>
      <c r="U72" s="115"/>
      <c r="V72" s="115"/>
      <c r="W72" s="136">
        <f>SUM(W6:W61)</f>
        <v>2475802.6036294689</v>
      </c>
      <c r="X72" s="137">
        <f>IF($D$2="Original",SUMPRODUCT(P6:P61,X6:X61)/SUM(P6:P61),SUMPRODUCT(P6:P61,Z6:Z61)/SUM(P6:P61))</f>
        <v>19.498878425483944</v>
      </c>
      <c r="Y72" s="115"/>
      <c r="Z72" s="115"/>
      <c r="AA72" s="129">
        <f>SUM(AA6:AA61)</f>
        <v>5661088.0556941051</v>
      </c>
      <c r="AB72" s="130">
        <f>SUM(E79,E85)</f>
        <v>1429623</v>
      </c>
      <c r="AC72" s="123"/>
      <c r="AD72" s="115"/>
      <c r="AE72" s="115"/>
      <c r="AF72" s="115"/>
      <c r="AG72" s="130">
        <f>SUM(AG6:AG61)</f>
        <v>1723462.5609076787</v>
      </c>
      <c r="AH72" s="134">
        <f>AG72/AA72</f>
        <v>0.30444016131742807</v>
      </c>
      <c r="AI72" s="134">
        <f>(AG72+AB72)/AA72</f>
        <v>0.55697518390236012</v>
      </c>
      <c r="AJ72" s="135">
        <f>IF($AG72=0,"-",(VLOOKUP($X72,AC,7)*$P72)/($AG72+$AB72))</f>
        <v>2.648910152987753</v>
      </c>
      <c r="AK72" s="115"/>
      <c r="AL72" s="134">
        <f>(W72)/AA72</f>
        <v>0.43733688281693955</v>
      </c>
      <c r="AM72" s="134">
        <f>(W72+AB72)/AA72</f>
        <v>0.6898719054018716</v>
      </c>
      <c r="AN72" s="135">
        <f>IF($W72=0,"-",(VLOOKUP($X72,AC,5)*$P72)/($W72+AB72))</f>
        <v>1.9442044346449159</v>
      </c>
    </row>
    <row r="73" spans="3:40" ht="13.5" thickBot="1" x14ac:dyDescent="0.25">
      <c r="E73" s="3"/>
      <c r="F73" s="36"/>
      <c r="G73" s="36"/>
      <c r="H73" s="37"/>
      <c r="I73" s="37"/>
      <c r="J73" s="33"/>
      <c r="K73" s="33"/>
      <c r="L73" s="33"/>
      <c r="M73" s="33"/>
      <c r="N73" s="35"/>
      <c r="O73" s="35"/>
      <c r="P73" s="34"/>
      <c r="Q73" s="33"/>
      <c r="R73" s="33"/>
      <c r="S73" s="33"/>
      <c r="T73" s="33"/>
      <c r="U73" s="33"/>
      <c r="V73" s="33"/>
      <c r="W73" s="33"/>
      <c r="X73" s="34"/>
      <c r="Y73" s="34"/>
      <c r="Z73" s="34"/>
      <c r="AA73" s="38"/>
      <c r="AB73" s="33"/>
      <c r="AG73" s="70"/>
      <c r="AH73" s="39"/>
      <c r="AI73" s="33"/>
      <c r="AJ73" s="40"/>
      <c r="AK73" s="33"/>
      <c r="AL73" s="41"/>
      <c r="AM73" s="41"/>
      <c r="AN73" s="3"/>
    </row>
    <row r="74" spans="3:40" x14ac:dyDescent="0.2">
      <c r="E74" s="42" t="s">
        <v>7</v>
      </c>
      <c r="F74" s="43">
        <v>8.7599999999999997E-2</v>
      </c>
      <c r="G74" s="44"/>
      <c r="H74" s="45"/>
      <c r="I74" s="45"/>
      <c r="J74" s="46"/>
      <c r="K74" s="47"/>
      <c r="L74" s="47"/>
      <c r="M74" s="47"/>
      <c r="N74" s="48"/>
      <c r="O74" s="48"/>
      <c r="P74" s="34"/>
      <c r="Q74" s="72" t="s">
        <v>190</v>
      </c>
      <c r="R74" s="72"/>
      <c r="S74" s="72"/>
      <c r="T74" s="127">
        <f>T72-W72</f>
        <v>506007.8666915996</v>
      </c>
      <c r="U74" s="48"/>
      <c r="V74" s="48"/>
      <c r="W74" s="49"/>
      <c r="X74" s="34"/>
      <c r="Y74" s="34"/>
      <c r="Z74" s="34"/>
      <c r="AA74" s="50"/>
      <c r="AB74" s="50"/>
      <c r="AG74" s="71"/>
      <c r="AH74" s="51"/>
      <c r="AI74" s="52"/>
      <c r="AJ74" s="53"/>
      <c r="AK74" s="48"/>
      <c r="AL74" s="46"/>
      <c r="AM74" s="46"/>
      <c r="AN74" s="46"/>
    </row>
    <row r="75" spans="3:40" x14ac:dyDescent="0.2">
      <c r="E75" s="54" t="s">
        <v>8</v>
      </c>
      <c r="F75" s="55">
        <v>0.02</v>
      </c>
      <c r="G75" s="44"/>
      <c r="H75" s="56"/>
      <c r="I75" s="56"/>
      <c r="J75" s="1"/>
      <c r="K75" s="46"/>
      <c r="L75" s="46"/>
      <c r="M75" s="46"/>
      <c r="N75" s="28"/>
      <c r="O75" s="28"/>
      <c r="P75" s="57"/>
      <c r="Q75" s="3"/>
      <c r="R75" s="3"/>
      <c r="S75" s="3"/>
      <c r="T75" s="3"/>
      <c r="U75" s="3"/>
      <c r="V75" s="3"/>
      <c r="W75" s="3"/>
      <c r="X75" s="3"/>
      <c r="Y75" s="3"/>
      <c r="Z75" s="3"/>
      <c r="AA75" s="58"/>
      <c r="AB75" s="33"/>
      <c r="AG75" s="71"/>
    </row>
    <row r="76" spans="3:40" ht="20.25" customHeight="1" thickBot="1" x14ac:dyDescent="0.25">
      <c r="E76" s="59" t="s">
        <v>9</v>
      </c>
      <c r="F76" s="60">
        <v>3.4000000000000002E-2</v>
      </c>
      <c r="G76" s="44"/>
      <c r="H76" s="45"/>
      <c r="I76" s="45"/>
      <c r="J76" s="1"/>
      <c r="K76" s="46"/>
      <c r="L76" s="46"/>
      <c r="M76" s="46"/>
      <c r="N76" s="28"/>
      <c r="O76" s="28"/>
      <c r="P76" s="28"/>
    </row>
    <row r="77" spans="3:40" x14ac:dyDescent="0.2">
      <c r="F77" s="61"/>
      <c r="G77" s="44"/>
      <c r="P77" s="28"/>
    </row>
    <row r="78" spans="3:40" s="30" customFormat="1" ht="12.75" customHeight="1" x14ac:dyDescent="0.2">
      <c r="D78" s="1"/>
      <c r="E78" s="29" t="s">
        <v>455</v>
      </c>
      <c r="F78" s="61"/>
      <c r="G78" s="44"/>
      <c r="H78" s="31"/>
      <c r="I78" s="31"/>
      <c r="K78" s="2"/>
      <c r="L78" s="2"/>
      <c r="M78" s="2"/>
      <c r="N78" s="29"/>
      <c r="O78" s="29"/>
      <c r="P78" s="62"/>
      <c r="AG78" s="63"/>
    </row>
    <row r="79" spans="3:40" s="30" customFormat="1" x14ac:dyDescent="0.2">
      <c r="D79" s="1"/>
      <c r="E79" s="73">
        <v>1394623</v>
      </c>
      <c r="G79" s="44"/>
      <c r="H79" s="31"/>
      <c r="I79" s="31"/>
      <c r="K79" s="64"/>
      <c r="L79" s="64"/>
      <c r="M79" s="64"/>
      <c r="N79" s="29"/>
      <c r="O79" s="29"/>
      <c r="P79" s="62"/>
      <c r="AG79" s="63"/>
    </row>
    <row r="80" spans="3:40" s="30" customFormat="1" ht="16.899999999999999" customHeight="1" x14ac:dyDescent="0.2">
      <c r="D80" s="1"/>
      <c r="E80" s="29" t="s">
        <v>56</v>
      </c>
      <c r="G80" s="44"/>
      <c r="H80" s="31"/>
      <c r="I80" s="31"/>
      <c r="K80" s="2"/>
      <c r="L80" s="2"/>
      <c r="M80" s="2"/>
      <c r="N80" s="29"/>
      <c r="O80" s="29"/>
      <c r="P80" s="62"/>
      <c r="AG80" s="63"/>
    </row>
    <row r="81" spans="4:40" s="30" customFormat="1" ht="14.45" customHeight="1" x14ac:dyDescent="0.2">
      <c r="D81" s="1"/>
      <c r="E81" s="74">
        <f>AB61</f>
        <v>515522.05379999999</v>
      </c>
      <c r="G81" s="44"/>
      <c r="H81" s="31"/>
      <c r="I81" s="31"/>
      <c r="K81" s="65"/>
      <c r="L81" s="65"/>
      <c r="M81" s="65"/>
      <c r="N81" s="29"/>
      <c r="O81" s="29"/>
      <c r="P81" s="62"/>
      <c r="AG81" s="63"/>
    </row>
    <row r="82" spans="4:40" s="30" customFormat="1" ht="16.899999999999999" customHeight="1" x14ac:dyDescent="0.2">
      <c r="D82" s="1"/>
      <c r="E82" s="29" t="s">
        <v>57</v>
      </c>
      <c r="G82" s="44"/>
      <c r="H82" s="31"/>
      <c r="I82" s="31"/>
      <c r="K82" s="2"/>
      <c r="L82" s="2"/>
      <c r="M82" s="2"/>
      <c r="N82" s="29"/>
      <c r="O82" s="29"/>
      <c r="P82" s="62"/>
      <c r="AG82" s="63"/>
    </row>
    <row r="83" spans="4:40" s="30" customFormat="1" ht="14.45" customHeight="1" x14ac:dyDescent="0.2">
      <c r="D83" s="1"/>
      <c r="E83" s="74">
        <f>E79-E81</f>
        <v>879100.94620000001</v>
      </c>
      <c r="G83" s="44"/>
      <c r="H83" s="31"/>
      <c r="I83" s="31"/>
      <c r="K83" s="65"/>
      <c r="L83" s="65"/>
      <c r="M83" s="65"/>
      <c r="N83" s="29"/>
      <c r="O83" s="29"/>
      <c r="P83" s="62"/>
      <c r="AG83" s="63"/>
    </row>
    <row r="84" spans="4:40" s="30" customFormat="1" x14ac:dyDescent="0.2">
      <c r="D84" s="1"/>
      <c r="E84" s="29" t="s">
        <v>467</v>
      </c>
      <c r="H84" s="31"/>
      <c r="I84" s="31"/>
      <c r="K84" s="2"/>
      <c r="L84" s="2"/>
      <c r="M84" s="2"/>
      <c r="N84" s="29"/>
      <c r="O84" s="29"/>
      <c r="P84" s="62"/>
      <c r="AG84" s="63"/>
    </row>
    <row r="85" spans="4:40" s="30" customFormat="1" ht="18" customHeight="1" x14ac:dyDescent="0.2">
      <c r="D85" s="1"/>
      <c r="E85" s="183">
        <v>35000</v>
      </c>
      <c r="F85" s="64"/>
      <c r="H85" s="31"/>
      <c r="I85" s="31"/>
      <c r="K85" s="2"/>
      <c r="L85" s="2"/>
      <c r="M85" s="2"/>
      <c r="N85" s="29"/>
      <c r="O85" s="29"/>
      <c r="P85" s="62"/>
      <c r="AG85" s="63"/>
      <c r="AH85" s="66"/>
    </row>
    <row r="86" spans="4:40" x14ac:dyDescent="0.2">
      <c r="E86" s="30"/>
      <c r="F86" s="67"/>
      <c r="P86" s="68"/>
    </row>
    <row r="87" spans="4:40" x14ac:dyDescent="0.2">
      <c r="E87" s="30"/>
      <c r="F87" s="65"/>
      <c r="P87" s="68"/>
    </row>
    <row r="88" spans="4:40" x14ac:dyDescent="0.2">
      <c r="E88" s="69"/>
      <c r="P88" s="68"/>
    </row>
    <row r="89" spans="4:40" x14ac:dyDescent="0.2">
      <c r="P89" s="68"/>
    </row>
    <row r="90" spans="4:40" x14ac:dyDescent="0.2">
      <c r="P90" s="68"/>
    </row>
    <row r="91" spans="4:40" x14ac:dyDescent="0.2">
      <c r="P91" s="68"/>
      <c r="AN91" s="3"/>
    </row>
    <row r="92" spans="4:40" s="3" customFormat="1" x14ac:dyDescent="0.2">
      <c r="D92" s="1"/>
      <c r="E92" s="1"/>
      <c r="F92" s="30"/>
      <c r="G92" s="30"/>
      <c r="H92" s="31"/>
      <c r="I92" s="31"/>
      <c r="J92" s="2"/>
      <c r="K92" s="2"/>
      <c r="L92" s="2"/>
      <c r="M92" s="2"/>
      <c r="N92" s="110"/>
      <c r="O92" s="110"/>
      <c r="P92" s="110"/>
      <c r="Q92" s="1"/>
      <c r="R92" s="1"/>
      <c r="S92" s="1"/>
      <c r="T92" s="1"/>
      <c r="U92" s="1"/>
      <c r="V92" s="1"/>
      <c r="W92" s="1"/>
      <c r="X92" s="1"/>
      <c r="Y92" s="1"/>
      <c r="Z92" s="1"/>
      <c r="AA92" s="1"/>
      <c r="AB92" s="2"/>
      <c r="AC92" s="2"/>
      <c r="AD92" s="2"/>
      <c r="AE92" s="2"/>
      <c r="AF92" s="2"/>
      <c r="AG92" s="32"/>
      <c r="AH92" s="2"/>
      <c r="AI92" s="2"/>
      <c r="AJ92" s="2"/>
      <c r="AK92" s="2"/>
      <c r="AL92" s="2"/>
      <c r="AM92" s="2"/>
      <c r="AN92" s="1"/>
    </row>
  </sheetData>
  <autoFilter ref="B5:AN72" xr:uid="{3AFC1F7A-3C5C-4094-86DF-8BF890658493}"/>
  <mergeCells count="2">
    <mergeCell ref="F1:H1"/>
    <mergeCell ref="AF1:AN2"/>
  </mergeCells>
  <dataValidations disablePrompts="1" count="1">
    <dataValidation type="list" allowBlank="1" showInputMessage="1" showErrorMessage="1" sqref="D2" xr:uid="{F8D2CDE8-1AE6-42B2-BECC-4010301DC455}">
      <formula1>$D$3:$D$4</formula1>
    </dataValidation>
  </dataValidations>
  <printOptions horizontalCentered="1" verticalCentered="1"/>
  <pageMargins left="0.25" right="0.02" top="0.73" bottom="0.72" header="0.5" footer="0.5"/>
  <pageSetup paperSize="5" scale="39" orientation="landscape" horizontalDpi="1200" verticalDpi="1200" r:id="rId1"/>
  <headerFooter alignWithMargins="0">
    <oddHeader>&amp;C&amp;c</oddHeader>
    <oddFooter>&amp;C&amp;14Appendix A&amp;R&amp;14Page 3 of 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D9490-3309-473B-AC59-67F9D83D6BF7}">
  <sheetPr>
    <tabColor rgb="FF00B0F0"/>
    <pageSetUpPr fitToPage="1"/>
  </sheetPr>
  <dimension ref="A1:AN92"/>
  <sheetViews>
    <sheetView showGridLines="0" zoomScale="80" zoomScaleNormal="80" workbookViewId="0">
      <selection activeCell="I62" sqref="I62"/>
    </sheetView>
  </sheetViews>
  <sheetFormatPr defaultColWidth="216.5" defaultRowHeight="12.75" x14ac:dyDescent="0.2"/>
  <cols>
    <col min="1" max="1" width="42.1640625" style="1" customWidth="1"/>
    <col min="2" max="2" width="12" style="1" hidden="1" customWidth="1"/>
    <col min="3" max="3" width="10.5" style="1" hidden="1" customWidth="1"/>
    <col min="4" max="4" width="44.1640625" style="1" customWidth="1"/>
    <col min="5" max="5" width="49.33203125" style="1" bestFit="1" customWidth="1" collapsed="1"/>
    <col min="6" max="6" width="37.5" style="30" customWidth="1"/>
    <col min="7" max="7" width="51" style="30" bestFit="1" customWidth="1"/>
    <col min="8" max="9" width="36" style="31" customWidth="1"/>
    <col min="10" max="10" width="42.6640625" style="2" bestFit="1" customWidth="1"/>
    <col min="11" max="11" width="14.5" style="2" bestFit="1" customWidth="1"/>
    <col min="12" max="12" width="54.1640625" style="2" bestFit="1" customWidth="1"/>
    <col min="13" max="13" width="25.83203125" style="2" bestFit="1" customWidth="1"/>
    <col min="14" max="14" width="35.83203125" style="110" bestFit="1" customWidth="1"/>
    <col min="15" max="15" width="27.6640625" style="110" bestFit="1" customWidth="1"/>
    <col min="16" max="16" width="45.6640625" style="110" bestFit="1" customWidth="1"/>
    <col min="17" max="17" width="42.83203125" style="1" bestFit="1" customWidth="1"/>
    <col min="18" max="18" width="42.6640625" style="1" bestFit="1" customWidth="1"/>
    <col min="19" max="19" width="32" style="1" bestFit="1" customWidth="1"/>
    <col min="20" max="20" width="40" style="1" bestFit="1" customWidth="1"/>
    <col min="21" max="21" width="25.83203125" style="1" bestFit="1" customWidth="1"/>
    <col min="22" max="22" width="29.83203125" style="1" bestFit="1" customWidth="1"/>
    <col min="23" max="23" width="32.5" style="1" bestFit="1" customWidth="1"/>
    <col min="24" max="24" width="12.6640625" style="1" bestFit="1" customWidth="1"/>
    <col min="25" max="25" width="24.83203125" style="1" bestFit="1" customWidth="1"/>
    <col min="26" max="26" width="31" style="1" bestFit="1" customWidth="1"/>
    <col min="27" max="27" width="41.83203125" style="1" bestFit="1" customWidth="1"/>
    <col min="28" max="28" width="41.83203125" style="2" bestFit="1" customWidth="1"/>
    <col min="29" max="30" width="29.1640625" style="2" bestFit="1" customWidth="1"/>
    <col min="31" max="31" width="26.83203125" style="2" bestFit="1" customWidth="1"/>
    <col min="32" max="32" width="34.83203125" style="2" bestFit="1" customWidth="1"/>
    <col min="33" max="33" width="40.1640625" style="32" bestFit="1" customWidth="1"/>
    <col min="34" max="34" width="23.6640625" style="2" bestFit="1" customWidth="1"/>
    <col min="35" max="35" width="22.33203125" style="2" bestFit="1" customWidth="1"/>
    <col min="36" max="36" width="31.6640625" style="2" bestFit="1" customWidth="1"/>
    <col min="37" max="37" width="3" style="2" customWidth="1"/>
    <col min="38" max="38" width="35.6640625" style="2" bestFit="1" customWidth="1"/>
    <col min="39" max="39" width="22.33203125" style="2" bestFit="1" customWidth="1"/>
    <col min="40" max="40" width="31.6640625" style="1" bestFit="1" customWidth="1"/>
    <col min="41" max="42" width="13.1640625" style="1" customWidth="1"/>
    <col min="43" max="16384" width="216.5" style="1"/>
  </cols>
  <sheetData>
    <row r="1" spans="1:40" ht="27.75" customHeight="1" thickBot="1" x14ac:dyDescent="0.25">
      <c r="E1" s="111" t="s">
        <v>302</v>
      </c>
      <c r="F1" s="195" t="s">
        <v>2</v>
      </c>
      <c r="G1" s="196"/>
      <c r="H1" s="197"/>
      <c r="I1" s="182"/>
      <c r="J1" s="182"/>
      <c r="K1" s="182"/>
      <c r="L1" s="182"/>
      <c r="M1" s="182"/>
      <c r="N1" s="182"/>
      <c r="O1" s="182"/>
      <c r="P1" s="182"/>
      <c r="Q1" s="182"/>
      <c r="R1" s="182"/>
      <c r="S1" s="182"/>
      <c r="T1" s="182"/>
      <c r="U1" s="182"/>
      <c r="V1" s="182"/>
      <c r="W1" s="182"/>
      <c r="X1" s="182"/>
      <c r="Y1" s="182"/>
      <c r="Z1" s="182"/>
      <c r="AA1" s="182"/>
      <c r="AB1" s="182"/>
      <c r="AC1" s="182"/>
      <c r="AD1" s="182"/>
      <c r="AE1" s="182"/>
      <c r="AF1" s="198" t="s">
        <v>462</v>
      </c>
      <c r="AG1" s="198"/>
      <c r="AH1" s="198"/>
      <c r="AI1" s="198"/>
      <c r="AJ1" s="198"/>
      <c r="AK1" s="198"/>
      <c r="AL1" s="198"/>
      <c r="AM1" s="198"/>
      <c r="AN1" s="199"/>
    </row>
    <row r="2" spans="1:40" ht="22.15" customHeight="1" thickBot="1" x14ac:dyDescent="0.25">
      <c r="A2" s="176"/>
      <c r="B2" s="138"/>
      <c r="C2" s="142"/>
      <c r="D2" s="139" t="s">
        <v>327</v>
      </c>
      <c r="E2" s="111">
        <v>2023</v>
      </c>
      <c r="F2" s="180" t="s">
        <v>46</v>
      </c>
      <c r="G2" s="181"/>
      <c r="H2" s="181"/>
      <c r="I2" s="181"/>
      <c r="J2" s="181"/>
      <c r="K2" s="181"/>
      <c r="L2" s="181"/>
      <c r="M2" s="181"/>
      <c r="N2" s="181"/>
      <c r="O2" s="181"/>
      <c r="P2" s="181"/>
      <c r="Q2" s="181"/>
      <c r="R2" s="181"/>
      <c r="S2" s="181"/>
      <c r="T2" s="181"/>
      <c r="U2" s="181"/>
      <c r="V2" s="181"/>
      <c r="W2" s="181"/>
      <c r="X2" s="181"/>
      <c r="Y2" s="181"/>
      <c r="Z2" s="181"/>
      <c r="AA2" s="181"/>
      <c r="AB2" s="181"/>
      <c r="AC2" s="181"/>
      <c r="AD2" s="181"/>
      <c r="AE2" s="181"/>
      <c r="AF2" s="200"/>
      <c r="AG2" s="200"/>
      <c r="AH2" s="200"/>
      <c r="AI2" s="200"/>
      <c r="AJ2" s="200"/>
      <c r="AK2" s="200"/>
      <c r="AL2" s="200"/>
      <c r="AM2" s="200"/>
      <c r="AN2" s="201"/>
    </row>
    <row r="3" spans="1:40" ht="22.5" hidden="1" customHeight="1" thickBot="1" x14ac:dyDescent="0.25">
      <c r="A3" s="28"/>
      <c r="B3" s="28"/>
      <c r="C3" s="28"/>
      <c r="D3" s="1" t="s">
        <v>328</v>
      </c>
      <c r="E3" s="140"/>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41"/>
    </row>
    <row r="4" spans="1:40" ht="22.5" hidden="1" customHeight="1" x14ac:dyDescent="0.25">
      <c r="A4" s="28"/>
      <c r="B4" s="28"/>
      <c r="C4" s="28"/>
      <c r="D4" s="1" t="s">
        <v>327</v>
      </c>
      <c r="E4" s="140"/>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row>
    <row r="5" spans="1:40" s="110" customFormat="1" ht="45" customHeight="1" thickBot="1" x14ac:dyDescent="0.25">
      <c r="E5" s="192" t="s">
        <v>3</v>
      </c>
      <c r="F5" s="193" t="s">
        <v>12</v>
      </c>
      <c r="G5" s="193" t="s">
        <v>17</v>
      </c>
      <c r="H5" s="193" t="s">
        <v>449</v>
      </c>
      <c r="I5" s="193" t="s">
        <v>451</v>
      </c>
      <c r="J5" s="193" t="s">
        <v>303</v>
      </c>
      <c r="K5" s="194" t="s">
        <v>23</v>
      </c>
      <c r="L5" s="185" t="s">
        <v>304</v>
      </c>
      <c r="M5" s="185" t="s">
        <v>305</v>
      </c>
      <c r="N5" s="190" t="s">
        <v>322</v>
      </c>
      <c r="O5" s="191" t="s">
        <v>306</v>
      </c>
      <c r="P5" s="189" t="s">
        <v>454</v>
      </c>
      <c r="Q5" s="189" t="s">
        <v>307</v>
      </c>
      <c r="R5" s="185" t="s">
        <v>325</v>
      </c>
      <c r="S5" s="189" t="s">
        <v>326</v>
      </c>
      <c r="T5" s="189" t="s">
        <v>308</v>
      </c>
      <c r="U5" s="189" t="s">
        <v>309</v>
      </c>
      <c r="V5" s="189" t="s">
        <v>310</v>
      </c>
      <c r="W5" s="189" t="s">
        <v>311</v>
      </c>
      <c r="X5" s="187" t="s">
        <v>6</v>
      </c>
      <c r="Y5" s="185" t="s">
        <v>321</v>
      </c>
      <c r="Z5" s="190" t="s">
        <v>323</v>
      </c>
      <c r="AA5" s="191" t="s">
        <v>457</v>
      </c>
      <c r="AB5" s="189" t="s">
        <v>459</v>
      </c>
      <c r="AC5" s="189" t="s">
        <v>320</v>
      </c>
      <c r="AD5" s="186" t="s">
        <v>319</v>
      </c>
      <c r="AE5" s="185" t="s">
        <v>318</v>
      </c>
      <c r="AF5" s="189" t="s">
        <v>324</v>
      </c>
      <c r="AG5" s="189" t="s">
        <v>317</v>
      </c>
      <c r="AH5" s="187" t="s">
        <v>316</v>
      </c>
      <c r="AI5" s="189" t="s">
        <v>315</v>
      </c>
      <c r="AJ5" s="189" t="s">
        <v>312</v>
      </c>
      <c r="AK5" s="112"/>
      <c r="AL5" s="189" t="s">
        <v>314</v>
      </c>
      <c r="AM5" s="187" t="s">
        <v>313</v>
      </c>
      <c r="AN5" s="188" t="s">
        <v>312</v>
      </c>
    </row>
    <row r="6" spans="1:40" ht="26.25" thickBot="1" x14ac:dyDescent="0.25">
      <c r="B6" s="1">
        <v>3</v>
      </c>
      <c r="C6" s="104" t="str">
        <f>E6&amp;"_"&amp;F6&amp;"_"&amp;G6</f>
        <v>Boiler_High-Efficiency-Condensing Boiler_Minimum 90% Thermal Efficiency and 300 kBtu/hr input</v>
      </c>
      <c r="E6" s="113" t="s">
        <v>53</v>
      </c>
      <c r="F6" s="113" t="s">
        <v>115</v>
      </c>
      <c r="G6" s="113" t="s">
        <v>112</v>
      </c>
      <c r="H6" s="118">
        <f>P6/N6</f>
        <v>14922.004343526613</v>
      </c>
      <c r="I6" s="177">
        <v>5.8261119331507363E-2</v>
      </c>
      <c r="J6" s="118">
        <v>1.5</v>
      </c>
      <c r="K6" s="116" t="s">
        <v>102</v>
      </c>
      <c r="L6" s="147">
        <f>IF(INDEX('Com Measure Mapping'!U:U,MATCH($C6,'Com Measure Mapping'!B:B,0))="N/A",J6,INDEX('Com Measure Mapping'!U:U,MATCH($C6,'Com Measure Mapping'!B:B,0)))</f>
        <v>1.7758629074935079</v>
      </c>
      <c r="M6" s="147" t="str">
        <f>INDEX('Com Measure Mapping'!V:V,MATCH($C6,'Com Measure Mapping'!B:B,0))</f>
        <v>kBtu/hr</v>
      </c>
      <c r="N6" s="118">
        <v>2.1</v>
      </c>
      <c r="O6" s="118">
        <f>H6</f>
        <v>14922.004343526613</v>
      </c>
      <c r="P6" s="118">
        <f>$P$72*I6</f>
        <v>31336.209121405889</v>
      </c>
      <c r="Q6" s="125">
        <v>8.89</v>
      </c>
      <c r="R6" s="145">
        <f>IF(INDEX('Com Measure Mapping'!W:W,MATCH($C6,'Com Measure Mapping'!B:B,0))="N/A",Q6,INDEX('Com Measure Mapping'!W:W,MATCH($C6,'Com Measure Mapping'!B:B,0)))</f>
        <v>10.743500000000003</v>
      </c>
      <c r="S6" s="125">
        <f>R6</f>
        <v>10.743500000000003</v>
      </c>
      <c r="T6" s="125">
        <f>IFERROR(IF($D$2="Original",O6*Q6,O6*S6),0)</f>
        <v>160314.55366467821</v>
      </c>
      <c r="U6" s="125">
        <v>0</v>
      </c>
      <c r="V6" s="125">
        <f>IFERROR(IF($D$2="Original",PV($F$76,$X6,(-0.05*0.9*$J6)),PV($F$76,$Z6,(-0.05*0.9*$N6))),0)</f>
        <v>1.5745438968150938</v>
      </c>
      <c r="W6" s="125">
        <f>IFERROR(IF($D$2="Original",MAX(0,O6*(Q6-U6-V6)),MAX(0,O6*(S6-U6-V6))),0)</f>
        <v>136819.20279733007</v>
      </c>
      <c r="X6" s="116">
        <v>20</v>
      </c>
      <c r="Y6" s="146">
        <f>IF(INDEX('Com Measure Mapping'!X:X,MATCH($C6,'Com Measure Mapping'!B:B,0))="N/A",X6,INDEX('Com Measure Mapping'!X:X,MATCH($C6,'Com Measure Mapping'!B:B,0)))</f>
        <v>25</v>
      </c>
      <c r="Z6" s="118">
        <f>Y6</f>
        <v>25</v>
      </c>
      <c r="AA6" s="118">
        <f>IFERROR(IF($D$2="Original",PV($F$76,X6,-P6),PV($F$76,Z6,-P6)),0)</f>
        <v>522118.90816329216</v>
      </c>
      <c r="AB6" s="125">
        <f>I6*$AB$72</f>
        <v>100462.50285816539</v>
      </c>
      <c r="AC6" s="125">
        <v>6</v>
      </c>
      <c r="AD6" s="145">
        <f>IF(INDEX('Com Measure Mapping'!Y:Y,MATCH($C6,'Com Measure Mapping'!B:B,0))="N/A",AC6,INDEX('Com Measure Mapping'!Y:Y,MATCH($C6,'Com Measure Mapping'!B:B,0)))</f>
        <v>10.11153224913495</v>
      </c>
      <c r="AE6" s="147" t="str">
        <f>INDEX('Com Measure Mapping'!V:V,MATCH($C6,'Com Measure Mapping'!B:B,0))</f>
        <v>kBtu/hr</v>
      </c>
      <c r="AF6" s="125">
        <v>10</v>
      </c>
      <c r="AG6" s="125">
        <f>IFERROR(IF($D$2="Original",H6*AC6,H6*AF6),0)</f>
        <v>149220.04343526613</v>
      </c>
      <c r="AH6" s="132">
        <f>IF(ISERROR(AG6/AA6),0,AG6/AA6)</f>
        <v>0.28579704948857687</v>
      </c>
      <c r="AI6" s="132">
        <f>IF(AA6=0,0,(AG6+AB6)/AA6)</f>
        <v>0.47821012108479999</v>
      </c>
      <c r="AJ6" s="121">
        <f>IFERROR(IF($D$2="Original",IF($AG6=0,"-",(VLOOKUP($X6,AC,7)*$P6)/($AG6+$AB6)),IF($AG6=0,"-",(VLOOKUP($Z6,AC,7)*$P6)/($AG6+$AB6))),0)</f>
        <v>3.4713846308698386</v>
      </c>
      <c r="AK6" s="76"/>
      <c r="AL6" s="132">
        <f>IF(ISERROR(W6/AA6),0,W6/AA6)</f>
        <v>0.26204606011805265</v>
      </c>
      <c r="AM6" s="132">
        <f>IF(AA6=0,0,(W6+AB6)/AA6)</f>
        <v>0.45445913171427582</v>
      </c>
      <c r="AN6" s="121">
        <f>IFERROR(IF($D$2="Original",IF($W6=0,"-",(VLOOKUP($X6,AC,5)*$P6)/(W6+AB6)),IF($W6=0,"-",(VLOOKUP($Z6,AC,5)*$P6)/(W6+AB6))),0)</f>
        <v>3.3207331705158687</v>
      </c>
    </row>
    <row r="7" spans="1:40" ht="26.25" thickBot="1" x14ac:dyDescent="0.25">
      <c r="A7" s="104"/>
      <c r="B7" s="1">
        <v>4</v>
      </c>
      <c r="C7" s="104" t="str">
        <f>E7&amp;"_"&amp;F7&amp;"_"&amp;G7</f>
        <v>Boiler_Mid Efficiency Non-Condensing_Minimum 85% Thermal Efficiency and *** kBtu input</v>
      </c>
      <c r="E7" s="114" t="s">
        <v>53</v>
      </c>
      <c r="F7" s="114" t="s">
        <v>220</v>
      </c>
      <c r="G7" s="114" t="s">
        <v>397</v>
      </c>
      <c r="H7" s="120">
        <f>P7/N7</f>
        <v>1992.0666666666666</v>
      </c>
      <c r="I7" s="178">
        <v>5.0000000000000001E-3</v>
      </c>
      <c r="J7" s="120" t="s">
        <v>250</v>
      </c>
      <c r="K7" s="117" t="s">
        <v>250</v>
      </c>
      <c r="L7" s="119">
        <f>IF(INDEX('Com Measure Mapping'!U:U,MATCH($C7,'Com Measure Mapping'!B:B,0))="N/A",J7,INDEX('Com Measure Mapping'!U:U,MATCH($C7,'Com Measure Mapping'!B:B,0)))</f>
        <v>0.90244915857485231</v>
      </c>
      <c r="M7" s="119" t="str">
        <f>INDEX('Com Measure Mapping'!V:V,MATCH($C7,'Com Measure Mapping'!B:B,0))</f>
        <v>kBtu/hr</v>
      </c>
      <c r="N7" s="120">
        <v>1.35</v>
      </c>
      <c r="O7" s="120">
        <f>H7</f>
        <v>1992.0666666666666</v>
      </c>
      <c r="P7" s="120">
        <f>$P$72*I7</f>
        <v>2689.29</v>
      </c>
      <c r="Q7" s="126" t="s">
        <v>250</v>
      </c>
      <c r="R7" s="131">
        <f>IF(INDEX('Com Measure Mapping'!W:W,MATCH($C7,'Com Measure Mapping'!B:B,0))="N/A",Q7,INDEX('Com Measure Mapping'!W:W,MATCH($C7,'Com Measure Mapping'!B:B,0)))</f>
        <v>6.0710749999999996</v>
      </c>
      <c r="S7" s="126">
        <f>R7</f>
        <v>6.0710749999999996</v>
      </c>
      <c r="T7" s="126">
        <f>IFERROR(IF($D$2="Original",O7*Q7,O7*S7),0)</f>
        <v>12093.986138333332</v>
      </c>
      <c r="U7" s="126">
        <v>0</v>
      </c>
      <c r="V7" s="126">
        <f>IFERROR(IF($D$2="Original",PV($F$76,$X7,(-0.05*0.9*$J7)),PV($F$76,$Z7,(-0.05*0.9*$N7))),0)</f>
        <v>1.012206790809703</v>
      </c>
      <c r="W7" s="126">
        <f>IFERROR(IF($D$2="Original",MAX(0,O7*(Q7-U7-V7)),MAX(0,O7*(S7-U7-V7))),0)</f>
        <v>10077.602730587683</v>
      </c>
      <c r="X7" s="117" t="s">
        <v>250</v>
      </c>
      <c r="Y7" s="128">
        <f>IF(INDEX('Com Measure Mapping'!X:X,MATCH($C7,'Com Measure Mapping'!B:B,0))="N/A",X7,INDEX('Com Measure Mapping'!X:X,MATCH($C7,'Com Measure Mapping'!B:B,0)))</f>
        <v>25</v>
      </c>
      <c r="Z7" s="120">
        <f>Y7</f>
        <v>25</v>
      </c>
      <c r="AA7" s="120">
        <f>IFERROR(IF($D$2="Original",PV($F$76,X7,-P7),PV($F$76,Z7,-P7)),0)</f>
        <v>44808.520172125529</v>
      </c>
      <c r="AB7" s="126">
        <f>I7*$AB$72</f>
        <v>8621.7450000000008</v>
      </c>
      <c r="AC7" s="126" t="s">
        <v>250</v>
      </c>
      <c r="AD7" s="131">
        <f>IF(INDEX('Com Measure Mapping'!Y:Y,MATCH($C7,'Com Measure Mapping'!B:B,0))="N/A",AC7,INDEX('Com Measure Mapping'!Y:Y,MATCH($C7,'Com Measure Mapping'!B:B,0)))</f>
        <v>5.7139563529411763</v>
      </c>
      <c r="AE7" s="119" t="str">
        <f>INDEX('Com Measure Mapping'!V:V,MATCH($C7,'Com Measure Mapping'!B:B,0))</f>
        <v>kBtu/hr</v>
      </c>
      <c r="AF7" s="126">
        <v>6</v>
      </c>
      <c r="AG7" s="126">
        <f>IFERROR(IF($D$2="Original",H7*AC7,H7*AF7),0)</f>
        <v>11952.4</v>
      </c>
      <c r="AH7" s="133">
        <f>IF(ISERROR(AG7/AA7),0,AG7/AA7)</f>
        <v>0.26674391285600513</v>
      </c>
      <c r="AI7" s="133">
        <f>IF(AA7=0,0,(AG7+AB7)/AA7)</f>
        <v>0.4591569844522283</v>
      </c>
      <c r="AJ7" s="122">
        <f>IFERROR(IF($D$2="Original",IF($AG7=0,"-",(VLOOKUP($X7,AC,7)*$P7)/($AG7+$AB7)),IF($AG7=0,"-",(VLOOKUP($Z7,AC,7)*$P7)/($AG7+$AB7))),0)</f>
        <v>3.6154328930455266</v>
      </c>
      <c r="AK7" s="76"/>
      <c r="AL7" s="133">
        <f>IF(ISERROR(W7/AA7),0,W7/AA7)</f>
        <v>0.22490371679037852</v>
      </c>
      <c r="AM7" s="133">
        <f>IF(AA7=0,0,(W7+AB7)/AA7)</f>
        <v>0.41731678838660174</v>
      </c>
      <c r="AN7" s="122">
        <f>IFERROR(IF($D$2="Original",IF($W7=0,"-",(VLOOKUP($X7,AC,5)*$P7)/(W7+AB7)),IF($W7=0,"-",(VLOOKUP($Z7,AC,5)*$P7)/(W7+AB7))),0)</f>
        <v>3.6162875669630932</v>
      </c>
    </row>
    <row r="8" spans="1:40" ht="26.25" thickBot="1" x14ac:dyDescent="0.25">
      <c r="B8" s="1">
        <v>5</v>
      </c>
      <c r="C8" s="104" t="str">
        <f>E8&amp;"_"&amp;F8&amp;"_"&amp;G8</f>
        <v>Boiler Steam Trap_Steam Trap fitted to Steam Boiler_Minimum 300 kBtu input and steam pressures at 7psig or greater</v>
      </c>
      <c r="E8" s="113" t="s">
        <v>133</v>
      </c>
      <c r="F8" s="113" t="s">
        <v>150</v>
      </c>
      <c r="G8" s="113" t="s">
        <v>151</v>
      </c>
      <c r="H8" s="118">
        <f>P8/N8</f>
        <v>39.885530160101588</v>
      </c>
      <c r="I8" s="177">
        <v>1.0151990077154021E-2</v>
      </c>
      <c r="J8" s="118">
        <v>136.9</v>
      </c>
      <c r="K8" s="116" t="s">
        <v>47</v>
      </c>
      <c r="L8" s="147">
        <f>IF(INDEX('Com Measure Mapping'!U:U,MATCH($C8,'Com Measure Mapping'!B:B,0))="N/A",J8,INDEX('Com Measure Mapping'!U:U,MATCH($C8,'Com Measure Mapping'!B:B,0)))</f>
        <v>137.44617346101299</v>
      </c>
      <c r="M8" s="147" t="str">
        <f>INDEX('Com Measure Mapping'!V:V,MATCH($C8,'Com Measure Mapping'!B:B,0))</f>
        <v>BoilerCtrl</v>
      </c>
      <c r="N8" s="118">
        <f>J8</f>
        <v>136.9</v>
      </c>
      <c r="O8" s="118">
        <f>H8</f>
        <v>39.885530160101588</v>
      </c>
      <c r="P8" s="118">
        <f>$P$72*I8</f>
        <v>5460.3290789179073</v>
      </c>
      <c r="Q8" s="125">
        <v>315</v>
      </c>
      <c r="R8" s="145">
        <f>IF(INDEX('Com Measure Mapping'!W:W,MATCH($C8,'Com Measure Mapping'!B:B,0))="N/A",Q8,INDEX('Com Measure Mapping'!W:W,MATCH($C8,'Com Measure Mapping'!B:B,0)))</f>
        <v>75.61</v>
      </c>
      <c r="S8" s="125">
        <f>Q8</f>
        <v>315</v>
      </c>
      <c r="T8" s="125">
        <f>IFERROR(IF($D$2="Original",O8*Q8,O8*S8),0)</f>
        <v>12563.942000432</v>
      </c>
      <c r="U8" s="125">
        <v>0</v>
      </c>
      <c r="V8" s="125">
        <f>IFERROR(IF($D$2="Original",PV($F$76,$X8,(-0.05*0.9*$J8)),PV($F$76,$Z8,(-0.05*0.9*$N8))),0)</f>
        <v>32.934652874408116</v>
      </c>
      <c r="W8" s="125">
        <f>IFERROR(IF($D$2="Original",MAX(0,O8*(Q8-U8-V8)),MAX(0,O8*(S8-U8-V8))),0)</f>
        <v>11250.325909897318</v>
      </c>
      <c r="X8" s="116">
        <v>7</v>
      </c>
      <c r="Y8" s="146">
        <f>IF(INDEX('Com Measure Mapping'!X:X,MATCH($C8,'Com Measure Mapping'!B:B,0))="N/A",X8,INDEX('Com Measure Mapping'!X:X,MATCH($C8,'Com Measure Mapping'!B:B,0)))</f>
        <v>6</v>
      </c>
      <c r="Z8" s="118">
        <f>Y8</f>
        <v>6</v>
      </c>
      <c r="AA8" s="118">
        <f>IFERROR(IF($D$2="Original",PV($F$76,X8,-P8),PV($F$76,Z8,-P8)),0)</f>
        <v>29191.46867854847</v>
      </c>
      <c r="AB8" s="125">
        <f>I8*$AB$72</f>
        <v>17505.57393755046</v>
      </c>
      <c r="AC8" s="125">
        <v>125</v>
      </c>
      <c r="AD8" s="145">
        <f>IF(INDEX('Com Measure Mapping'!Y:Y,MATCH($C8,'Com Measure Mapping'!B:B,0))="N/A",AC8,INDEX('Com Measure Mapping'!Y:Y,MATCH($C8,'Com Measure Mapping'!B:B,0)))</f>
        <v>69.732542222222222</v>
      </c>
      <c r="AE8" s="147" t="str">
        <f>INDEX('Com Measure Mapping'!V:V,MATCH($C8,'Com Measure Mapping'!B:B,0))</f>
        <v>BoilerCtrl</v>
      </c>
      <c r="AF8" s="125">
        <f>AC8</f>
        <v>125</v>
      </c>
      <c r="AG8" s="125">
        <f>IFERROR(IF($D$2="Original",H8*AC8,H8*AF8),0)</f>
        <v>4985.6912700126986</v>
      </c>
      <c r="AH8" s="132">
        <f>IF(ISERROR(AG8/AA8),0,AG8/AA8)</f>
        <v>0.17079275198224145</v>
      </c>
      <c r="AI8" s="132">
        <f>IF(AA8=0,0,(AG8+AB8)/AA8)</f>
        <v>0.77047391671975052</v>
      </c>
      <c r="AJ8" s="121">
        <f>IFERROR(IF($D$2="Original",IF($AG8=0,"-",(VLOOKUP($X8,AC,7)*$P8)/($AG8+$AB8)),IF($AG8=0,"-",(VLOOKUP($Z8,AC,7)*$P8)/($AG8+$AB8))),0)</f>
        <v>1.3783688302303339</v>
      </c>
      <c r="AK8" s="76"/>
      <c r="AL8" s="132">
        <f>IF(ISERROR(W8/AA8),0,W8/AA8)</f>
        <v>0.38539773499524843</v>
      </c>
      <c r="AM8" s="132">
        <f>IF(AA8=0,0,(W8+AB8)/AA8)</f>
        <v>0.98507889973275742</v>
      </c>
      <c r="AN8" s="121">
        <f>IFERROR(IF($D$2="Original",IF($W8=0,"-",(VLOOKUP($X8,AC,5)*$P8)/(W8+AB8)),IF($W8=0,"-",(VLOOKUP($Z8,AC,5)*$P8)/(W8+AB8))),0)</f>
        <v>0.98007583831849399</v>
      </c>
    </row>
    <row r="9" spans="1:40" ht="16.149999999999999" customHeight="1" thickBot="1" x14ac:dyDescent="0.25">
      <c r="B9" s="1">
        <v>6</v>
      </c>
      <c r="C9" s="104" t="str">
        <f>E9&amp;"_"&amp;F9&amp;"_"&amp;G9</f>
        <v>Boiler Vent Damper_Boiler Vent Damper_Minimum 1,000 kBtu/hr input</v>
      </c>
      <c r="E9" s="114" t="s">
        <v>14</v>
      </c>
      <c r="F9" s="114" t="s">
        <v>14</v>
      </c>
      <c r="G9" s="114" t="s">
        <v>152</v>
      </c>
      <c r="H9" s="120">
        <v>0</v>
      </c>
      <c r="I9" s="178">
        <v>0</v>
      </c>
      <c r="J9" s="120">
        <v>270</v>
      </c>
      <c r="K9" s="117" t="s">
        <v>47</v>
      </c>
      <c r="L9" s="119">
        <f>IF(INDEX('Com Measure Mapping'!U:U,MATCH($C9,'Com Measure Mapping'!B:B,0))="N/A",J9,INDEX('Com Measure Mapping'!U:U,MATCH($C9,'Com Measure Mapping'!B:B,0)))</f>
        <v>35.160559439977632</v>
      </c>
      <c r="M9" s="119" t="str">
        <f>INDEX('Com Measure Mapping'!V:V,MATCH($C9,'Com Measure Mapping'!B:B,0))</f>
        <v>BoilerCtrl</v>
      </c>
      <c r="N9" s="120">
        <v>0</v>
      </c>
      <c r="O9" s="120">
        <f>H9</f>
        <v>0</v>
      </c>
      <c r="P9" s="120">
        <f>$P$72*I9</f>
        <v>0</v>
      </c>
      <c r="Q9" s="126">
        <v>1.5</v>
      </c>
      <c r="R9" s="131">
        <f>IF(INDEX('Com Measure Mapping'!W:W,MATCH($C9,'Com Measure Mapping'!B:B,0))="N/A",Q9,INDEX('Com Measure Mapping'!W:W,MATCH($C9,'Com Measure Mapping'!B:B,0)))</f>
        <v>1863.8300000000002</v>
      </c>
      <c r="S9" s="126">
        <v>0</v>
      </c>
      <c r="T9" s="126">
        <f>IFERROR(IF($D$2="Original",O9*Q9,O9*S9),0)</f>
        <v>0</v>
      </c>
      <c r="U9" s="126">
        <v>0</v>
      </c>
      <c r="V9" s="126">
        <f>IFERROR(IF($D$2="Original",PV($F$76,$X9,(-0.05*0.9*$J9)),PV($F$76,$Z9,(-0.05*0.9*$N9))),0)</f>
        <v>0</v>
      </c>
      <c r="W9" s="126">
        <f>IFERROR(IF($D$2="Original",MAX(0,O9*(Q9-U9-V9)),MAX(0,O9*(S9-U9-V9))),0)</f>
        <v>0</v>
      </c>
      <c r="X9" s="117">
        <v>12</v>
      </c>
      <c r="Y9" s="128">
        <f>IF(INDEX('Com Measure Mapping'!X:X,MATCH($C9,'Com Measure Mapping'!B:B,0))="N/A",X9,INDEX('Com Measure Mapping'!X:X,MATCH($C9,'Com Measure Mapping'!B:B,0)))</f>
        <v>15</v>
      </c>
      <c r="Z9" s="120">
        <v>0</v>
      </c>
      <c r="AA9" s="120">
        <f>IFERROR(IF($D$2="Original",PV($F$76,X9,-P9),PV($F$76,Z9,-P9)),0)</f>
        <v>0</v>
      </c>
      <c r="AB9" s="126">
        <f>I9*$AB$72</f>
        <v>0</v>
      </c>
      <c r="AC9" s="126">
        <v>1000</v>
      </c>
      <c r="AD9" s="131">
        <f>IF(INDEX('Com Measure Mapping'!Y:Y,MATCH($C9,'Com Measure Mapping'!B:B,0))="N/A",AC9,INDEX('Com Measure Mapping'!Y:Y,MATCH($C9,'Com Measure Mapping'!B:B,0)))</f>
        <v>559.14771000000007</v>
      </c>
      <c r="AE9" s="119" t="str">
        <f>INDEX('Com Measure Mapping'!V:V,MATCH($C9,'Com Measure Mapping'!B:B,0))</f>
        <v>BoilerCtrl</v>
      </c>
      <c r="AF9" s="126">
        <v>0</v>
      </c>
      <c r="AG9" s="126">
        <f>IFERROR(IF($D$2="Original",H9*AC9,H9*AF9),0)</f>
        <v>0</v>
      </c>
      <c r="AH9" s="133">
        <f>IF(ISERROR(AG9/AA9),0,AG9/AA9)</f>
        <v>0</v>
      </c>
      <c r="AI9" s="133">
        <f>IF(AA9=0,0,(AG9+AB9)/AA9)</f>
        <v>0</v>
      </c>
      <c r="AJ9" s="122" t="str">
        <f>IFERROR(IF($D$2="Original",IF($AG9=0,"-",(VLOOKUP($X9,AC,7)*$P9)/($AG9+$AB9)),IF($AG9=0,"-",(VLOOKUP($Z9,AC,7)*$P9)/($AG9+$AB9))),0)</f>
        <v>-</v>
      </c>
      <c r="AK9" s="76"/>
      <c r="AL9" s="133">
        <f>IF(ISERROR(W9/AA9),0,W9/AA9)</f>
        <v>0</v>
      </c>
      <c r="AM9" s="133">
        <f>IF(AA9=0,0,(W9+AB9)/AA9)</f>
        <v>0</v>
      </c>
      <c r="AN9" s="122" t="str">
        <f>IFERROR(IF($D$2="Original",IF($W9=0,"-",(VLOOKUP($X9,AC,5)*$P9)/(W9+AB9)),IF($W9=0,"-",(VLOOKUP($Z9,AC,5)*$P9)/(W9+AB9))),0)</f>
        <v>-</v>
      </c>
    </row>
    <row r="10" spans="1:40" ht="13.5" thickBot="1" x14ac:dyDescent="0.25">
      <c r="C10" s="104" t="str">
        <f>E10&amp;"_"&amp;F10&amp;"_"&amp;G10</f>
        <v>Clothes Washer_Commercial Gas Washer_1.8 MEF</v>
      </c>
      <c r="D10" s="30"/>
      <c r="E10" s="113" t="s">
        <v>11</v>
      </c>
      <c r="F10" s="113" t="s">
        <v>16</v>
      </c>
      <c r="G10" s="113" t="s">
        <v>22</v>
      </c>
      <c r="H10" s="118">
        <f>P10/N10</f>
        <v>0</v>
      </c>
      <c r="I10" s="177">
        <v>0</v>
      </c>
      <c r="J10" s="118">
        <v>90</v>
      </c>
      <c r="K10" s="116" t="s">
        <v>47</v>
      </c>
      <c r="L10" s="147">
        <f>IF(INDEX('Com Measure Mapping'!U:U,MATCH($C10,'Com Measure Mapping'!B:B,0))="N/A",J10,INDEX('Com Measure Mapping'!U:U,MATCH($C10,'Com Measure Mapping'!B:B,0)))</f>
        <v>38.405828480981313</v>
      </c>
      <c r="M10" s="147" t="str">
        <f>INDEX('Com Measure Mapping'!V:V,MATCH($C10,'Com Measure Mapping'!B:B,0))</f>
        <v>ClothesWashers</v>
      </c>
      <c r="N10" s="118">
        <f>L10</f>
        <v>38.405828480981313</v>
      </c>
      <c r="O10" s="118">
        <f>H10</f>
        <v>0</v>
      </c>
      <c r="P10" s="118">
        <f>$P$72*I10</f>
        <v>0</v>
      </c>
      <c r="Q10" s="125">
        <v>200</v>
      </c>
      <c r="R10" s="145">
        <f>IF(INDEX('Com Measure Mapping'!W:W,MATCH($C10,'Com Measure Mapping'!B:B,0))="N/A",Q10,INDEX('Com Measure Mapping'!W:W,MATCH($C10,'Com Measure Mapping'!B:B,0)))</f>
        <v>443.38999999999993</v>
      </c>
      <c r="S10" s="125">
        <f>R10</f>
        <v>443.38999999999993</v>
      </c>
      <c r="T10" s="125">
        <f>IFERROR(IF($D$2="Original",O10*Q10,O10*S10),0)</f>
        <v>0</v>
      </c>
      <c r="U10" s="125">
        <v>0</v>
      </c>
      <c r="V10" s="125">
        <f>IFERROR(IF($D$2="Original",PV($F$76,$X10,(-0.05*0.9*$J10)),PV($F$76,$Z10,(-0.05*0.9*$N10))),0)</f>
        <v>10.741349426370741</v>
      </c>
      <c r="W10" s="125">
        <f>IFERROR(IF($D$2="Original",MAX(0,O10*(Q10-U10-V10)),MAX(0,O10*(S10-U10-V10))),0)</f>
        <v>0</v>
      </c>
      <c r="X10" s="116">
        <v>10</v>
      </c>
      <c r="Y10" s="146">
        <f>IF(INDEX('Com Measure Mapping'!X:X,MATCH($C10,'Com Measure Mapping'!B:B,0))="N/A",X10,INDEX('Com Measure Mapping'!X:X,MATCH($C10,'Com Measure Mapping'!B:B,0)))</f>
        <v>7.1000000000000005</v>
      </c>
      <c r="Z10" s="118">
        <f>Y10</f>
        <v>7.1000000000000005</v>
      </c>
      <c r="AA10" s="118">
        <f>IFERROR(IF($D$2="Original",PV($F$76,X10,-P10),PV($F$76,Z10,-P10)),0)</f>
        <v>0</v>
      </c>
      <c r="AB10" s="125">
        <f>I10*$AB$72</f>
        <v>0</v>
      </c>
      <c r="AC10" s="125">
        <v>180</v>
      </c>
      <c r="AD10" s="145">
        <f>IF(INDEX('Com Measure Mapping'!Y:Y,MATCH($C10,'Com Measure Mapping'!B:B,0))="N/A",AC10,INDEX('Com Measure Mapping'!Y:Y,MATCH($C10,'Com Measure Mapping'!B:B,0)))</f>
        <v>133.01757000000001</v>
      </c>
      <c r="AE10" s="147" t="str">
        <f>INDEX('Com Measure Mapping'!V:V,MATCH($C10,'Com Measure Mapping'!B:B,0))</f>
        <v>ClothesWashers</v>
      </c>
      <c r="AF10" s="125">
        <v>135</v>
      </c>
      <c r="AG10" s="125">
        <f>IFERROR(IF($D$2="Original",H10*AC10,H10*AF10),0)</f>
        <v>0</v>
      </c>
      <c r="AH10" s="132">
        <f>IF(ISERROR(AG10/AA10),0,AG10/AA10)</f>
        <v>0</v>
      </c>
      <c r="AI10" s="132">
        <f>IF(AA10=0,0,(AG10+AB10)/AA10)</f>
        <v>0</v>
      </c>
      <c r="AJ10" s="121" t="str">
        <f>IFERROR(IF($D$2="Original",IF($AG10=0,"-",(VLOOKUP($X10,AC,7)*$P10)/($AG10+$AB10)),IF($AG10=0,"-",(VLOOKUP($Z10,AC,7)*$P10)/($AG10+$AB10))),0)</f>
        <v>-</v>
      </c>
      <c r="AK10" s="76"/>
      <c r="AL10" s="132">
        <f>IF(ISERROR(W10/AA10),0,W10/AA10)</f>
        <v>0</v>
      </c>
      <c r="AM10" s="132">
        <f>IF(AA10=0,0,(W10+AB10)/AA10)</f>
        <v>0</v>
      </c>
      <c r="AN10" s="121" t="str">
        <f>IFERROR(IF($D$2="Original",IF($W10=0,"-",(VLOOKUP($X10,AC,5)*$P10)/(W10+AB10)),IF($W10=0,"-",(VLOOKUP($Z10,AC,5)*$P10)/(W10+AB10))),0)</f>
        <v>-</v>
      </c>
    </row>
    <row r="11" spans="1:40" ht="26.25" thickBot="1" x14ac:dyDescent="0.25">
      <c r="B11" s="1">
        <v>14</v>
      </c>
      <c r="C11" s="104" t="str">
        <f>E11&amp;"_"&amp;F11&amp;"_"&amp;G11</f>
        <v>Convection Oven (Grocery)_Energy Star_&gt;= 44% Cooking Efficiency,&lt;= 13,000 Btu/hr Idle Rate</v>
      </c>
      <c r="D11" s="30"/>
      <c r="E11" s="114" t="s">
        <v>134</v>
      </c>
      <c r="F11" s="114" t="s">
        <v>15</v>
      </c>
      <c r="G11" s="114" t="s">
        <v>85</v>
      </c>
      <c r="H11" s="120">
        <f>P11/N11</f>
        <v>1.4615706521739131</v>
      </c>
      <c r="I11" s="178">
        <v>1E-3</v>
      </c>
      <c r="J11" s="120">
        <v>368</v>
      </c>
      <c r="K11" s="117" t="s">
        <v>86</v>
      </c>
      <c r="L11" s="119">
        <f>IF(INDEX('Com Measure Mapping'!U:U,MATCH($C11,'Com Measure Mapping'!B:B,0))="N/A",J11,INDEX('Com Measure Mapping'!U:U,MATCH($C11,'Com Measure Mapping'!B:B,0)))</f>
        <v>243.37536850115339</v>
      </c>
      <c r="M11" s="119" t="str">
        <f>INDEX('Com Measure Mapping'!V:V,MATCH($C11,'Com Measure Mapping'!B:B,0))</f>
        <v>1 unit</v>
      </c>
      <c r="N11" s="120">
        <f>J11</f>
        <v>368</v>
      </c>
      <c r="O11" s="120">
        <f>H11</f>
        <v>1.4615706521739131</v>
      </c>
      <c r="P11" s="120">
        <f>$P$72*I11</f>
        <v>537.85800000000006</v>
      </c>
      <c r="Q11" s="126">
        <v>900</v>
      </c>
      <c r="R11" s="131">
        <f>IF(INDEX('Com Measure Mapping'!W:W,MATCH($C11,'Com Measure Mapping'!B:B,0))="N/A",Q11,INDEX('Com Measure Mapping'!W:W,MATCH($C11,'Com Measure Mapping'!B:B,0)))</f>
        <v>54.41</v>
      </c>
      <c r="S11" s="126">
        <f>Q11</f>
        <v>900</v>
      </c>
      <c r="T11" s="126">
        <f>IFERROR(IF($D$2="Original",O11*Q11,O11*S11),0)</f>
        <v>1315.4135869565218</v>
      </c>
      <c r="U11" s="126">
        <v>0</v>
      </c>
      <c r="V11" s="126">
        <f>IFERROR(IF($D$2="Original",PV($F$76,$X11,(-0.05*0.9*$J11)),PV($F$76,$Z11,(-0.05*0.9*$N11))),0)</f>
        <v>160.97072351882352</v>
      </c>
      <c r="W11" s="126">
        <f>IFERROR(IF($D$2="Original",MAX(0,O11*(Q11-U11-V11)),MAX(0,O11*(S11-U11-V11))),0)</f>
        <v>1080.1435016022083</v>
      </c>
      <c r="X11" s="117">
        <v>12</v>
      </c>
      <c r="Y11" s="128">
        <f>IF(INDEX('Com Measure Mapping'!X:X,MATCH($C11,'Com Measure Mapping'!B:B,0))="N/A",X11,INDEX('Com Measure Mapping'!X:X,MATCH($C11,'Com Measure Mapping'!B:B,0)))</f>
        <v>12</v>
      </c>
      <c r="Z11" s="120">
        <f>Y11</f>
        <v>12</v>
      </c>
      <c r="AA11" s="120">
        <f>IFERROR(IF($D$2="Original",PV($F$76,X11,-P11),PV($F$76,Z11,-P11)),0)</f>
        <v>5228.2241189847455</v>
      </c>
      <c r="AB11" s="126">
        <f>I11*$AB$72</f>
        <v>1724.3489999999999</v>
      </c>
      <c r="AC11" s="126">
        <v>800</v>
      </c>
      <c r="AD11" s="131">
        <f>IF(INDEX('Com Measure Mapping'!Y:Y,MATCH($C11,'Com Measure Mapping'!B:B,0))="N/A",AC11,INDEX('Com Measure Mapping'!Y:Y,MATCH($C11,'Com Measure Mapping'!B:B,0)))</f>
        <v>54.406199999999998</v>
      </c>
      <c r="AE11" s="119" t="str">
        <f>INDEX('Com Measure Mapping'!V:V,MATCH($C11,'Com Measure Mapping'!B:B,0))</f>
        <v>1 unit</v>
      </c>
      <c r="AF11" s="126">
        <f>AC11</f>
        <v>800</v>
      </c>
      <c r="AG11" s="126">
        <f>IFERROR(IF($D$2="Original",H11*AC11,H11*AF11),0)</f>
        <v>1169.2565217391304</v>
      </c>
      <c r="AH11" s="133">
        <f>IF(ISERROR(AG11/AA11),0,AG11/AA11)</f>
        <v>0.22364315207783886</v>
      </c>
      <c r="AI11" s="133">
        <f>IF(AA11=0,0,(AG11+AB11)/AA11)</f>
        <v>0.55345858476721765</v>
      </c>
      <c r="AJ11" s="122">
        <f>IFERROR(IF($D$2="Original",IF($AG11=0,"-",(VLOOKUP($X11,AC,7)*$P11)/($AG11+$AB11)),IF($AG11=0,"-",(VLOOKUP($Z11,AC,7)*$P11)/($AG11+$AB11))),0)</f>
        <v>2.2112618068676118</v>
      </c>
      <c r="AK11" s="76"/>
      <c r="AL11" s="133">
        <f>IF(ISERROR(W11/AA11),0,W11/AA11)</f>
        <v>0.20659854608756872</v>
      </c>
      <c r="AM11" s="133">
        <f>IF(AA11=0,0,(W11+AB11)/AA11)</f>
        <v>0.53641397877694741</v>
      </c>
      <c r="AN11" s="122">
        <f>IFERROR(IF($D$2="Original",IF($W11=0,"-",(VLOOKUP($X11,AC,5)*$P11)/(W11+AB11)),IF($W11=0,"-",(VLOOKUP($Z11,AC,5)*$P11)/(W11+AB11))),0)</f>
        <v>2.0741135130695709</v>
      </c>
    </row>
    <row r="12" spans="1:40" ht="26.25" thickBot="1" x14ac:dyDescent="0.25">
      <c r="B12" s="168" t="s">
        <v>410</v>
      </c>
      <c r="C12" s="104" t="str">
        <f>E12&amp;"_"&amp;F12&amp;"_"&amp;G12</f>
        <v>Convection Oven (Lodging)_Energy Star_&gt;= 44% Cooking Efficiency,&lt;= 13,000 Btu/hr Idle Rate</v>
      </c>
      <c r="D12" s="30"/>
      <c r="E12" s="113" t="s">
        <v>135</v>
      </c>
      <c r="F12" s="113" t="s">
        <v>15</v>
      </c>
      <c r="G12" s="113" t="s">
        <v>85</v>
      </c>
      <c r="H12" s="118">
        <f>P12/N12</f>
        <v>12.27986301369863</v>
      </c>
      <c r="I12" s="177">
        <v>5.0000000000000001E-3</v>
      </c>
      <c r="J12" s="118">
        <v>219</v>
      </c>
      <c r="K12" s="116" t="s">
        <v>86</v>
      </c>
      <c r="L12" s="147">
        <f>IF(INDEX('Com Measure Mapping'!U:U,MATCH($C12,'Com Measure Mapping'!B:B,0))="N/A",J12,INDEX('Com Measure Mapping'!U:U,MATCH($C12,'Com Measure Mapping'!B:B,0)))</f>
        <v>243.37536850115333</v>
      </c>
      <c r="M12" s="147" t="str">
        <f>INDEX('Com Measure Mapping'!V:V,MATCH($C12,'Com Measure Mapping'!B:B,0))</f>
        <v>1 unit</v>
      </c>
      <c r="N12" s="118">
        <f>J12</f>
        <v>219</v>
      </c>
      <c r="O12" s="118">
        <f>H12</f>
        <v>12.27986301369863</v>
      </c>
      <c r="P12" s="118">
        <f>$P$72*I12</f>
        <v>2689.29</v>
      </c>
      <c r="Q12" s="125">
        <v>900</v>
      </c>
      <c r="R12" s="145">
        <f>IF(INDEX('Com Measure Mapping'!W:W,MATCH($C12,'Com Measure Mapping'!B:B,0))="N/A",Q12,INDEX('Com Measure Mapping'!W:W,MATCH($C12,'Com Measure Mapping'!B:B,0)))</f>
        <v>54.41</v>
      </c>
      <c r="S12" s="125">
        <f>Q12</f>
        <v>900</v>
      </c>
      <c r="T12" s="125">
        <f>IFERROR(IF($D$2="Original",O12*Q12,O12*S12),0)</f>
        <v>11051.876712328767</v>
      </c>
      <c r="U12" s="125">
        <v>0</v>
      </c>
      <c r="V12" s="125">
        <f>IFERROR(IF($D$2="Original",PV($F$76,$X12,(-0.05*0.9*$J12)),PV($F$76,$Z12,(-0.05*0.9*$N12))),0)</f>
        <v>95.795077311473776</v>
      </c>
      <c r="W12" s="125">
        <f>IFERROR(IF($D$2="Original",MAX(0,O12*(Q12-U12-V12)),MAX(0,O12*(S12-U12-V12))),0)</f>
        <v>9875.5262855572</v>
      </c>
      <c r="X12" s="116">
        <v>12</v>
      </c>
      <c r="Y12" s="146">
        <f>IF(INDEX('Com Measure Mapping'!X:X,MATCH($C12,'Com Measure Mapping'!B:B,0))="N/A",X12,INDEX('Com Measure Mapping'!X:X,MATCH($C12,'Com Measure Mapping'!B:B,0)))</f>
        <v>12</v>
      </c>
      <c r="Z12" s="118">
        <f>Y12</f>
        <v>12</v>
      </c>
      <c r="AA12" s="118">
        <f>IFERROR(IF($D$2="Original",PV($F$76,X12,-P12),PV($F$76,Z12,-P12)),0)</f>
        <v>26141.120594923723</v>
      </c>
      <c r="AB12" s="125">
        <f>I12*$AB$72</f>
        <v>8621.7450000000008</v>
      </c>
      <c r="AC12" s="125">
        <v>800</v>
      </c>
      <c r="AD12" s="145">
        <f>IF(INDEX('Com Measure Mapping'!Y:Y,MATCH($C12,'Com Measure Mapping'!B:B,0))="N/A",AC12,INDEX('Com Measure Mapping'!Y:Y,MATCH($C12,'Com Measure Mapping'!B:B,0)))</f>
        <v>54.406199999999998</v>
      </c>
      <c r="AE12" s="147" t="str">
        <f>INDEX('Com Measure Mapping'!V:V,MATCH($C12,'Com Measure Mapping'!B:B,0))</f>
        <v>1 unit</v>
      </c>
      <c r="AF12" s="125">
        <f>AC12</f>
        <v>800</v>
      </c>
      <c r="AG12" s="125">
        <f>IFERROR(IF($D$2="Original",H12*AC12,H12*AF12),0)</f>
        <v>9823.8904109589039</v>
      </c>
      <c r="AH12" s="132">
        <f>IF(ISERROR(AG12/AA12),0,AG12/AA12)</f>
        <v>0.37580219161938222</v>
      </c>
      <c r="AI12" s="132">
        <f>IF(AA12=0,0,(AG12+AB12)/AA12)</f>
        <v>0.70561762430876107</v>
      </c>
      <c r="AJ12" s="121">
        <f>IFERROR(IF($D$2="Original",IF($AG12=0,"-",(VLOOKUP($X12,AC,7)*$P12)/($AG12+$AB12)),IF($AG12=0,"-",(VLOOKUP($Z12,AC,7)*$P12)/($AG12+$AB12))),0)</f>
        <v>1.7344263918827878</v>
      </c>
      <c r="AK12" s="76"/>
      <c r="AL12" s="132">
        <f>IF(ISERROR(W12/AA12),0,W12/AA12)</f>
        <v>0.37777746557180503</v>
      </c>
      <c r="AM12" s="132">
        <f>IF(AA12=0,0,(W12+AB12)/AA12)</f>
        <v>0.70759289826118399</v>
      </c>
      <c r="AN12" s="121">
        <f>IFERROR(IF($D$2="Original",IF($W12=0,"-",(VLOOKUP($X12,AC,5)*$P12)/(W12+AB12)),IF($W12=0,"-",(VLOOKUP($Z12,AC,5)*$P12)/(W12+AB12))),0)</f>
        <v>1.5723497009575811</v>
      </c>
    </row>
    <row r="13" spans="1:40" ht="26.25" thickBot="1" x14ac:dyDescent="0.25">
      <c r="B13" s="168" t="s">
        <v>411</v>
      </c>
      <c r="C13" s="104" t="str">
        <f>E13&amp;"_"&amp;F13&amp;"_"&amp;G13</f>
        <v>Convection Oven (Restaurant)_Energy Star_&gt;= 44% Cooking Efficiency,&lt;= 13,000 Btu/hr Idle Rate</v>
      </c>
      <c r="D13" s="30"/>
      <c r="E13" s="114" t="s">
        <v>84</v>
      </c>
      <c r="F13" s="114" t="s">
        <v>15</v>
      </c>
      <c r="G13" s="114" t="s">
        <v>85</v>
      </c>
      <c r="H13" s="120">
        <f>P13/N13</f>
        <v>4.1437442218798148</v>
      </c>
      <c r="I13" s="178">
        <v>5.0000000000000001E-3</v>
      </c>
      <c r="J13" s="120">
        <v>649</v>
      </c>
      <c r="K13" s="117" t="s">
        <v>86</v>
      </c>
      <c r="L13" s="119">
        <f>IF(INDEX('Com Measure Mapping'!U:U,MATCH($C13,'Com Measure Mapping'!B:B,0))="N/A",J13,INDEX('Com Measure Mapping'!U:U,MATCH($C13,'Com Measure Mapping'!B:B,0)))</f>
        <v>243.3753685011533</v>
      </c>
      <c r="M13" s="119" t="str">
        <f>INDEX('Com Measure Mapping'!V:V,MATCH($C13,'Com Measure Mapping'!B:B,0))</f>
        <v>1 unit</v>
      </c>
      <c r="N13" s="120">
        <f>J13</f>
        <v>649</v>
      </c>
      <c r="O13" s="120">
        <f>H13</f>
        <v>4.1437442218798148</v>
      </c>
      <c r="P13" s="120">
        <f>$P$72*I13</f>
        <v>2689.29</v>
      </c>
      <c r="Q13" s="126">
        <v>900</v>
      </c>
      <c r="R13" s="131">
        <f>IF(INDEX('Com Measure Mapping'!W:W,MATCH($C13,'Com Measure Mapping'!B:B,0))="N/A",Q13,INDEX('Com Measure Mapping'!W:W,MATCH($C13,'Com Measure Mapping'!B:B,0)))</f>
        <v>54.41</v>
      </c>
      <c r="S13" s="126">
        <f>Q13</f>
        <v>900</v>
      </c>
      <c r="T13" s="126">
        <f>IFERROR(IF($D$2="Original",O13*Q13,O13*S13),0)</f>
        <v>3729.3697996918336</v>
      </c>
      <c r="U13" s="126">
        <v>0</v>
      </c>
      <c r="V13" s="126">
        <f>IFERROR(IF($D$2="Original",PV($F$76,$X13,(-0.05*0.9*$J13)),PV($F$76,$Z13,(-0.05*0.9*$N13))),0)</f>
        <v>283.88586837966432</v>
      </c>
      <c r="W13" s="126">
        <f>IFERROR(IF($D$2="Original",MAX(0,O13*(Q13-U13-V13)),MAX(0,O13*(S13-U13-V13))),0)</f>
        <v>2553.0193729202656</v>
      </c>
      <c r="X13" s="117">
        <v>12</v>
      </c>
      <c r="Y13" s="128">
        <f>IF(INDEX('Com Measure Mapping'!X:X,MATCH($C13,'Com Measure Mapping'!B:B,0))="N/A",X13,INDEX('Com Measure Mapping'!X:X,MATCH($C13,'Com Measure Mapping'!B:B,0)))</f>
        <v>12</v>
      </c>
      <c r="Z13" s="120">
        <f>Y13</f>
        <v>12</v>
      </c>
      <c r="AA13" s="120">
        <f>IFERROR(IF($D$2="Original",PV($F$76,X13,-P13),PV($F$76,Z13,-P13)),0)</f>
        <v>26141.120594923723</v>
      </c>
      <c r="AB13" s="126">
        <f>I13*$AB$72</f>
        <v>8621.7450000000008</v>
      </c>
      <c r="AC13" s="126">
        <v>800</v>
      </c>
      <c r="AD13" s="131">
        <f>IF(INDEX('Com Measure Mapping'!Y:Y,MATCH($C13,'Com Measure Mapping'!B:B,0))="N/A",AC13,INDEX('Com Measure Mapping'!Y:Y,MATCH($C13,'Com Measure Mapping'!B:B,0)))</f>
        <v>54.406199999999998</v>
      </c>
      <c r="AE13" s="119" t="str">
        <f>INDEX('Com Measure Mapping'!V:V,MATCH($C13,'Com Measure Mapping'!B:B,0))</f>
        <v>1 unit</v>
      </c>
      <c r="AF13" s="126">
        <f>AC13</f>
        <v>800</v>
      </c>
      <c r="AG13" s="126">
        <f>IFERROR(IF($D$2="Original",H13*AC13,H13*AF13),0)</f>
        <v>3314.9953775038521</v>
      </c>
      <c r="AH13" s="133">
        <f>IF(ISERROR(AG13/AA13),0,AG13/AA13)</f>
        <v>0.12681152536925225</v>
      </c>
      <c r="AI13" s="133">
        <f>IF(AA13=0,0,(AG13+AB13)/AA13)</f>
        <v>0.45662695805863113</v>
      </c>
      <c r="AJ13" s="122">
        <f>IFERROR(IF($D$2="Original",IF($AG13=0,"-",(VLOOKUP($X13,AC,7)*$P13)/($AG13+$AB13)),IF($AG13=0,"-",(VLOOKUP($Z13,AC,7)*$P13)/($AG13+$AB13))),0)</f>
        <v>2.680178663524301</v>
      </c>
      <c r="AK13" s="76"/>
      <c r="AL13" s="133">
        <f>IF(ISERROR(W13/AA13),0,W13/AA13)</f>
        <v>9.7662966040408764E-2</v>
      </c>
      <c r="AM13" s="133">
        <f>IF(AA13=0,0,(W13+AB13)/AA13)</f>
        <v>0.42747839872978766</v>
      </c>
      <c r="AN13" s="122">
        <f>IFERROR(IF($D$2="Original",IF($W13=0,"-",(VLOOKUP($X13,AC,5)*$P13)/(W13+AB13)),IF($W13=0,"-",(VLOOKUP($Z13,AC,5)*$P13)/(W13+AB13))),0)</f>
        <v>2.6026659716294889</v>
      </c>
    </row>
    <row r="14" spans="1:40" ht="26.25" thickBot="1" x14ac:dyDescent="0.25">
      <c r="B14" s="168" t="s">
        <v>412</v>
      </c>
      <c r="C14" s="104" t="str">
        <f>E14&amp;"_"&amp;F14&amp;"_"&amp;G14</f>
        <v>Convection Oven (School)_Energy Star_&gt;= 44% Cooking Efficiency,&lt;= 13,000 Btu/hr Idle Rate</v>
      </c>
      <c r="D14" s="30"/>
      <c r="E14" s="113" t="s">
        <v>136</v>
      </c>
      <c r="F14" s="113" t="s">
        <v>15</v>
      </c>
      <c r="G14" s="113" t="s">
        <v>85</v>
      </c>
      <c r="H14" s="118">
        <f>P14/N14</f>
        <v>3.8145957446808514</v>
      </c>
      <c r="I14" s="177">
        <v>1E-3</v>
      </c>
      <c r="J14" s="118">
        <v>141</v>
      </c>
      <c r="K14" s="116" t="s">
        <v>86</v>
      </c>
      <c r="L14" s="147">
        <f>IF(INDEX('Com Measure Mapping'!U:U,MATCH($C14,'Com Measure Mapping'!B:B,0))="N/A",J14,INDEX('Com Measure Mapping'!U:U,MATCH($C14,'Com Measure Mapping'!B:B,0)))</f>
        <v>243.37536850115336</v>
      </c>
      <c r="M14" s="147" t="str">
        <f>INDEX('Com Measure Mapping'!V:V,MATCH($C14,'Com Measure Mapping'!B:B,0))</f>
        <v>1 unit</v>
      </c>
      <c r="N14" s="118">
        <f>J14</f>
        <v>141</v>
      </c>
      <c r="O14" s="118">
        <f>H14</f>
        <v>3.8145957446808514</v>
      </c>
      <c r="P14" s="118">
        <f>$P$72*I14</f>
        <v>537.85800000000006</v>
      </c>
      <c r="Q14" s="125">
        <v>900</v>
      </c>
      <c r="R14" s="145">
        <f>IF(INDEX('Com Measure Mapping'!W:W,MATCH($C14,'Com Measure Mapping'!B:B,0))="N/A",Q14,INDEX('Com Measure Mapping'!W:W,MATCH($C14,'Com Measure Mapping'!B:B,0)))</f>
        <v>54.41</v>
      </c>
      <c r="S14" s="125">
        <f>Q14</f>
        <v>900</v>
      </c>
      <c r="T14" s="125">
        <f>IFERROR(IF($D$2="Original",O14*Q14,O14*S14),0)</f>
        <v>3433.136170212766</v>
      </c>
      <c r="U14" s="125">
        <v>0</v>
      </c>
      <c r="V14" s="125">
        <f>IFERROR(IF($D$2="Original",PV($F$76,$X14,(-0.05*0.9*$J14)),PV($F$76,$Z14,(-0.05*0.9*$N14))),0)</f>
        <v>61.676282652592704</v>
      </c>
      <c r="W14" s="125">
        <f>IFERROR(IF($D$2="Original",MAX(0,O14*(Q14-U14-V14)),MAX(0,O14*(S14-U14-V14))),0)</f>
        <v>3197.8660848584527</v>
      </c>
      <c r="X14" s="116">
        <v>12</v>
      </c>
      <c r="Y14" s="146">
        <f>IF(INDEX('Com Measure Mapping'!X:X,MATCH($C14,'Com Measure Mapping'!B:B,0))="N/A",X14,INDEX('Com Measure Mapping'!X:X,MATCH($C14,'Com Measure Mapping'!B:B,0)))</f>
        <v>12</v>
      </c>
      <c r="Z14" s="118">
        <f>Y14</f>
        <v>12</v>
      </c>
      <c r="AA14" s="118">
        <f>IFERROR(IF($D$2="Original",PV($F$76,X14,-P14),PV($F$76,Z14,-P14)),0)</f>
        <v>5228.2241189847455</v>
      </c>
      <c r="AB14" s="125">
        <f>I14*$AB$72</f>
        <v>1724.3489999999999</v>
      </c>
      <c r="AC14" s="125">
        <v>800</v>
      </c>
      <c r="AD14" s="145">
        <f>IF(INDEX('Com Measure Mapping'!Y:Y,MATCH($C14,'Com Measure Mapping'!B:B,0))="N/A",AC14,INDEX('Com Measure Mapping'!Y:Y,MATCH($C14,'Com Measure Mapping'!B:B,0)))</f>
        <v>54.406199999999998</v>
      </c>
      <c r="AE14" s="147" t="str">
        <f>INDEX('Com Measure Mapping'!V:V,MATCH($C14,'Com Measure Mapping'!B:B,0))</f>
        <v>1 unit</v>
      </c>
      <c r="AF14" s="125">
        <f>AC14</f>
        <v>800</v>
      </c>
      <c r="AG14" s="125">
        <f>IFERROR(IF($D$2="Original",H14*AC14,H14*AF14),0)</f>
        <v>3051.676595744681</v>
      </c>
      <c r="AH14" s="132">
        <f>IF(ISERROR(AG14/AA14),0,AG14/AA14)</f>
        <v>0.58369276570670003</v>
      </c>
      <c r="AI14" s="132">
        <f>IF(AA14=0,0,(AG14+AB14)/AA14)</f>
        <v>0.91350819839607866</v>
      </c>
      <c r="AJ14" s="121">
        <f>IFERROR(IF($D$2="Original",IF($AG14=0,"-",(VLOOKUP($X14,AC,7)*$P14)/($AG14+$AB14)),IF($AG14=0,"-",(VLOOKUP($Z14,AC,7)*$P14)/($AG14+$AB14))),0)</f>
        <v>1.3397163072291507</v>
      </c>
      <c r="AK14" s="76"/>
      <c r="AL14" s="132">
        <f>IF(ISERROR(W14/AA14),0,W14/AA14)</f>
        <v>0.61165436142003748</v>
      </c>
      <c r="AM14" s="132">
        <f>IF(AA14=0,0,(W14+AB14)/AA14)</f>
        <v>0.94146979410941622</v>
      </c>
      <c r="AN14" s="121">
        <f>IFERROR(IF($D$2="Original",IF($W14=0,"-",(VLOOKUP($X14,AC,5)*$P14)/(W14+AB14)),IF($W14=0,"-",(VLOOKUP($Z14,AC,5)*$P14)/(W14+AB14))),0)</f>
        <v>1.1817516493273472</v>
      </c>
    </row>
    <row r="15" spans="1:40" s="3" customFormat="1" ht="26.25" thickBot="1" x14ac:dyDescent="0.25">
      <c r="B15" s="3">
        <v>8</v>
      </c>
      <c r="C15" s="104" t="str">
        <f>E15&amp;"_"&amp;F15&amp;"_"&amp;G15</f>
        <v>DCV_Demand Control Ventilation_Meet JUARC Guidelines for DCV RTUs in 5-20 ton</v>
      </c>
      <c r="D15" s="30"/>
      <c r="E15" s="114" t="s">
        <v>82</v>
      </c>
      <c r="F15" s="114" t="s">
        <v>59</v>
      </c>
      <c r="G15" s="114" t="s">
        <v>61</v>
      </c>
      <c r="H15" s="120">
        <f>P15/N15</f>
        <v>973.69472614051517</v>
      </c>
      <c r="I15" s="178">
        <v>2.046398531098699E-2</v>
      </c>
      <c r="J15" s="120">
        <v>13</v>
      </c>
      <c r="K15" s="117" t="s">
        <v>83</v>
      </c>
      <c r="L15" s="119">
        <f>IF(INDEX('Com Measure Mapping'!U:U,MATCH($C15,'Com Measure Mapping'!B:B,0))="N/A",J15,INDEX('Com Measure Mapping'!U:U,MATCH($C15,'Com Measure Mapping'!B:B,0)))</f>
        <v>11.304074999999997</v>
      </c>
      <c r="M15" s="119" t="str">
        <f>INDEX('Com Measure Mapping'!V:V,MATCH($C15,'Com Measure Mapping'!B:B,0))</f>
        <v>ton</v>
      </c>
      <c r="N15" s="120">
        <f>L15</f>
        <v>11.304074999999997</v>
      </c>
      <c r="O15" s="120">
        <f>H15</f>
        <v>973.69472614051517</v>
      </c>
      <c r="P15" s="120">
        <f>$P$72*I15</f>
        <v>11006.718211396841</v>
      </c>
      <c r="Q15" s="126">
        <v>55</v>
      </c>
      <c r="R15" s="131">
        <f>IF(INDEX('Com Measure Mapping'!W:W,MATCH($C15,'Com Measure Mapping'!B:B,0))="N/A",Q15,INDEX('Com Measure Mapping'!W:W,MATCH($C15,'Com Measure Mapping'!B:B,0)))</f>
        <v>106.81875000000001</v>
      </c>
      <c r="S15" s="126">
        <f>R15</f>
        <v>106.81875000000001</v>
      </c>
      <c r="T15" s="126">
        <f>IFERROR(IF($D$2="Original",O15*Q15,O15*S15),0)</f>
        <v>104008.85352792217</v>
      </c>
      <c r="U15" s="126">
        <v>0</v>
      </c>
      <c r="V15" s="126">
        <f>IFERROR(IF($D$2="Original",PV($F$76,$X15,(-0.05*0.9*$J15)),PV($F$76,$Z15,(-0.05*0.9*$N15))),0)</f>
        <v>5.9006008852534126</v>
      </c>
      <c r="W15" s="126">
        <f>IFERROR(IF($D$2="Original",MAX(0,O15*(Q15-U15-V15)),MAX(0,O15*(S15-U15-V15))),0)</f>
        <v>98263.469564890867</v>
      </c>
      <c r="X15" s="117">
        <v>10</v>
      </c>
      <c r="Y15" s="128">
        <f>IF(INDEX('Com Measure Mapping'!X:X,MATCH($C15,'Com Measure Mapping'!B:B,0))="N/A",X15,INDEX('Com Measure Mapping'!X:X,MATCH($C15,'Com Measure Mapping'!B:B,0)))</f>
        <v>15</v>
      </c>
      <c r="Z15" s="120">
        <f>Y15</f>
        <v>15</v>
      </c>
      <c r="AA15" s="120">
        <f>IFERROR(IF($D$2="Original",PV($F$76,X15,-P15),PV($F$76,Z15,-P15)),0)</f>
        <v>127675.19917847338</v>
      </c>
      <c r="AB15" s="126">
        <f>I15*$AB$72</f>
        <v>35287.052607015103</v>
      </c>
      <c r="AC15" s="126">
        <v>20</v>
      </c>
      <c r="AD15" s="131">
        <f>IF(INDEX('Com Measure Mapping'!Y:Y,MATCH($C15,'Com Measure Mapping'!B:B,0))="N/A",AC15,INDEX('Com Measure Mapping'!Y:Y,MATCH($C15,'Com Measure Mapping'!B:B,0)))</f>
        <v>44.861943750000002</v>
      </c>
      <c r="AE15" s="119" t="str">
        <f>INDEX('Com Measure Mapping'!V:V,MATCH($C15,'Com Measure Mapping'!B:B,0))</f>
        <v>ton</v>
      </c>
      <c r="AF15" s="126">
        <v>60</v>
      </c>
      <c r="AG15" s="126">
        <f>IFERROR(IF($D$2="Original",H15*AC15,H15*AF15),0)</f>
        <v>58421.683568430912</v>
      </c>
      <c r="AH15" s="133">
        <f>IF(ISERROR(AG15/AA15),0,AG15/AA15)</f>
        <v>0.45758051637550196</v>
      </c>
      <c r="AI15" s="133">
        <f>IF(AA15=0,0,(AG15+AB15)/AA15)</f>
        <v>0.73396193449013813</v>
      </c>
      <c r="AJ15" s="122">
        <f>IFERROR(IF($D$2="Original",IF($AG15=0,"-",(VLOOKUP($X15,AC,7)*$P15)/($AG15+$AB15)),IF($AG15=0,"-",(VLOOKUP($Z15,AC,7)*$P15)/($AG15+$AB15))),0)</f>
        <v>1.7869786921722224</v>
      </c>
      <c r="AK15" s="76"/>
      <c r="AL15" s="133">
        <f>IF(ISERROR(W15/AA15),0,W15/AA15)</f>
        <v>0.76963631305976088</v>
      </c>
      <c r="AM15" s="133">
        <f>IF(AA15=0,0,(W15+AB15)/AA15)</f>
        <v>1.046017731174397</v>
      </c>
      <c r="AN15" s="122">
        <f>IFERROR(IF($D$2="Original",IF($W15=0,"-",(VLOOKUP($X15,AC,5)*$P15)/(W15+AB15)),IF($W15=0,"-",(VLOOKUP($Z15,AC,5)*$P15)/(W15+AB15))),0)</f>
        <v>1.1398853686272301</v>
      </c>
    </row>
    <row r="16" spans="1:40" s="3" customFormat="1" ht="26.25" thickBot="1" x14ac:dyDescent="0.25">
      <c r="B16" s="3">
        <v>27</v>
      </c>
      <c r="C16" s="104" t="str">
        <f>E16&amp;"_"&amp;F16&amp;"_"&amp;G16</f>
        <v>DHW Recirculation Controls_Schedule Control for Continuous Operation DHW Recirculation Pump_Add time clock or other schedule control for continuous operation DHW recirculation pump</v>
      </c>
      <c r="D16" s="30"/>
      <c r="E16" s="113" t="s">
        <v>137</v>
      </c>
      <c r="F16" s="113" t="s">
        <v>153</v>
      </c>
      <c r="G16" s="113" t="s">
        <v>154</v>
      </c>
      <c r="H16" s="118">
        <f>P16/N16</f>
        <v>7.4702500000000009</v>
      </c>
      <c r="I16" s="177">
        <v>1E-3</v>
      </c>
      <c r="J16" s="118">
        <v>72</v>
      </c>
      <c r="K16" s="116" t="s">
        <v>166</v>
      </c>
      <c r="L16" s="147">
        <f>IF(INDEX('Com Measure Mapping'!U:U,MATCH($C16,'Com Measure Mapping'!B:B,0))="N/A",J16,INDEX('Com Measure Mapping'!U:U,MATCH($C16,'Com Measure Mapping'!B:B,0)))</f>
        <v>646.52388499057565</v>
      </c>
      <c r="M16" s="147" t="str">
        <f>INDEX('Com Measure Mapping'!V:V,MATCH($C16,'Com Measure Mapping'!B:B,0))</f>
        <v>perBldg</v>
      </c>
      <c r="N16" s="118">
        <f>J16</f>
        <v>72</v>
      </c>
      <c r="O16" s="118">
        <f>H16</f>
        <v>7.4702500000000009</v>
      </c>
      <c r="P16" s="118">
        <f>$P$72*I16</f>
        <v>537.85800000000006</v>
      </c>
      <c r="Q16" s="125">
        <v>300</v>
      </c>
      <c r="R16" s="145">
        <f>IF(INDEX('Com Measure Mapping'!W:W,MATCH($C16,'Com Measure Mapping'!B:B,0))="N/A",Q16,INDEX('Com Measure Mapping'!W:W,MATCH($C16,'Com Measure Mapping'!B:B,0)))</f>
        <v>2146.2999999999997</v>
      </c>
      <c r="S16" s="125">
        <f>Q16</f>
        <v>300</v>
      </c>
      <c r="T16" s="125">
        <f>IFERROR(IF($D$2="Original",O16*Q16,O16*S16),0)</f>
        <v>2241.0750000000003</v>
      </c>
      <c r="U16" s="125">
        <v>0</v>
      </c>
      <c r="V16" s="125">
        <f>IFERROR(IF($D$2="Original",PV($F$76,$X16,(-0.05*0.9*$J16)),PV($F$76,$Z16,(-0.05*0.9*$N16))),0)</f>
        <v>37.583195771281218</v>
      </c>
      <c r="W16" s="125">
        <f>IFERROR(IF($D$2="Original",MAX(0,O16*(Q16-U16-V16)),MAX(0,O16*(S16-U16-V16))),0)</f>
        <v>1960.3191317895867</v>
      </c>
      <c r="X16" s="116">
        <v>15</v>
      </c>
      <c r="Y16" s="146">
        <f>IF(INDEX('Com Measure Mapping'!X:X,MATCH($C16,'Com Measure Mapping'!B:B,0))="N/A",X16,INDEX('Com Measure Mapping'!X:X,MATCH($C16,'Com Measure Mapping'!B:B,0)))</f>
        <v>15</v>
      </c>
      <c r="Z16" s="118">
        <f>Y16</f>
        <v>15</v>
      </c>
      <c r="AA16" s="118">
        <f>IFERROR(IF($D$2="Original",PV($F$76,X16,-P16),PV($F$76,Z16,-P16)),0)</f>
        <v>6239.0192935647456</v>
      </c>
      <c r="AB16" s="125">
        <f>I16*$AB$72</f>
        <v>1724.3489999999999</v>
      </c>
      <c r="AC16" s="125">
        <v>200</v>
      </c>
      <c r="AD16" s="145">
        <f>IF(INDEX('Com Measure Mapping'!Y:Y,MATCH($C16,'Com Measure Mapping'!B:B,0))="N/A",AC16,INDEX('Com Measure Mapping'!Y:Y,MATCH($C16,'Com Measure Mapping'!B:B,0)))</f>
        <v>2009.443231101179</v>
      </c>
      <c r="AE16" s="147" t="str">
        <f>INDEX('Com Measure Mapping'!V:V,MATCH($C16,'Com Measure Mapping'!B:B,0))</f>
        <v>perBldg</v>
      </c>
      <c r="AF16" s="125">
        <f>AC16</f>
        <v>200</v>
      </c>
      <c r="AG16" s="125">
        <f>IFERROR(IF($D$2="Original",H16*AC16,H16*AF16),0)</f>
        <v>1494.0500000000002</v>
      </c>
      <c r="AH16" s="132">
        <f>IF(ISERROR(AG16/AA16),0,AG16/AA16)</f>
        <v>0.23946872572441671</v>
      </c>
      <c r="AI16" s="132">
        <f>IF(AA16=0,0,(AG16+AB16)/AA16)</f>
        <v>0.51585014383905292</v>
      </c>
      <c r="AJ16" s="121">
        <f>IFERROR(IF($D$2="Original",IF($AG16=0,"-",(VLOOKUP($X16,AC,7)*$P16)/($AG16+$AB16)),IF($AG16=0,"-",(VLOOKUP($Z16,AC,7)*$P16)/($AG16+$AB16))),0)</f>
        <v>2.5425491365348871</v>
      </c>
      <c r="AK16" s="76"/>
      <c r="AL16" s="132">
        <f>IF(ISERROR(W16/AA16),0,W16/AA16)</f>
        <v>0.31420308858662505</v>
      </c>
      <c r="AM16" s="132">
        <f>IF(AA16=0,0,(W16+AB16)/AA16)</f>
        <v>0.59058450670126117</v>
      </c>
      <c r="AN16" s="121">
        <f>IFERROR(IF($D$2="Original",IF($W16=0,"-",(VLOOKUP($X16,AC,5)*$P16)/(W16+AB16)),IF($W16=0,"-",(VLOOKUP($Z16,AC,5)*$P16)/(W16+AB16))),0)</f>
        <v>2.0189156565420618</v>
      </c>
    </row>
    <row r="17" spans="1:40" s="3" customFormat="1" ht="13.5" thickBot="1" x14ac:dyDescent="0.25">
      <c r="B17" s="3">
        <v>9</v>
      </c>
      <c r="C17" s="104" t="str">
        <f>E17&amp;"_"&amp;F17&amp;"_"&amp;G17</f>
        <v>Domestic Hot Water Tanks - Condensing_Condensing Tank_Minimum 91% AFUE or 91% Thermal Efficiency</v>
      </c>
      <c r="D17" s="30"/>
      <c r="E17" s="114" t="s">
        <v>101</v>
      </c>
      <c r="F17" s="114" t="s">
        <v>13</v>
      </c>
      <c r="G17" s="114" t="s">
        <v>21</v>
      </c>
      <c r="H17" s="120">
        <f>P17/N17</f>
        <v>3656.02857308485</v>
      </c>
      <c r="I17" s="178">
        <v>2.5821513370856124E-2</v>
      </c>
      <c r="J17" s="120">
        <v>0.79</v>
      </c>
      <c r="K17" s="117" t="s">
        <v>102</v>
      </c>
      <c r="L17" s="119">
        <f>IF(INDEX('Com Measure Mapping'!U:U,MATCH($C17,'Com Measure Mapping'!B:B,0))="N/A",J17,INDEX('Com Measure Mapping'!U:U,MATCH($C17,'Com Measure Mapping'!B:B,0)))</f>
        <v>3.7987415199283809</v>
      </c>
      <c r="M17" s="119" t="str">
        <f>INDEX('Com Measure Mapping'!V:V,MATCH($C17,'Com Measure Mapping'!B:B,0))</f>
        <v>1 kBtu/hr</v>
      </c>
      <c r="N17" s="120">
        <f>L17</f>
        <v>3.7987415199283809</v>
      </c>
      <c r="O17" s="120">
        <f>H17</f>
        <v>3656.02857308485</v>
      </c>
      <c r="P17" s="120">
        <f>$P$72*I17</f>
        <v>13888.307538621933</v>
      </c>
      <c r="Q17" s="126">
        <v>6.06</v>
      </c>
      <c r="R17" s="131">
        <f>IF(INDEX('Com Measure Mapping'!W:W,MATCH($C17,'Com Measure Mapping'!B:B,0))="N/A",Q17,INDEX('Com Measure Mapping'!W:W,MATCH($C17,'Com Measure Mapping'!B:B,0)))</f>
        <v>2.6193750000000007</v>
      </c>
      <c r="S17" s="126">
        <f>R17</f>
        <v>2.6193750000000007</v>
      </c>
      <c r="T17" s="126">
        <f>IFERROR(IF($D$2="Original",O17*Q17,O17*S17),0)</f>
        <v>9576.5098436241315</v>
      </c>
      <c r="U17" s="126">
        <v>0</v>
      </c>
      <c r="V17" s="126">
        <f>IFERROR(IF($D$2="Original",PV($F$76,$X17,(-0.05*0.9*$J17)),PV($F$76,$Z17,(-0.05*0.9*$N17))),0)</f>
        <v>1.4288612662904059</v>
      </c>
      <c r="W17" s="126">
        <f>IFERROR(IF($D$2="Original",MAX(0,O17*(Q17-U17-V17)),MAX(0,O17*(S17-U17-V17))),0)</f>
        <v>4352.5522270922065</v>
      </c>
      <c r="X17" s="117">
        <v>15</v>
      </c>
      <c r="Y17" s="128">
        <f>IF(INDEX('Com Measure Mapping'!X:X,MATCH($C17,'Com Measure Mapping'!B:B,0))="N/A",X17,INDEX('Com Measure Mapping'!X:X,MATCH($C17,'Com Measure Mapping'!B:B,0)))</f>
        <v>10</v>
      </c>
      <c r="Z17" s="120">
        <f>Y17</f>
        <v>10</v>
      </c>
      <c r="AA17" s="120">
        <f>IFERROR(IF($D$2="Original",PV($F$76,X17,-P17),PV($F$76,Z17,-P17)),0)</f>
        <v>116087.94703404277</v>
      </c>
      <c r="AB17" s="126">
        <f>I17*$AB$72</f>
        <v>44525.30075952239</v>
      </c>
      <c r="AC17" s="126">
        <v>2.5</v>
      </c>
      <c r="AD17" s="131">
        <f>IF(INDEX('Com Measure Mapping'!Y:Y,MATCH($C17,'Com Measure Mapping'!B:B,0))="N/A",AC17,INDEX('Com Measure Mapping'!Y:Y,MATCH($C17,'Com Measure Mapping'!B:B,0)))</f>
        <v>1.121071487285781</v>
      </c>
      <c r="AE17" s="119" t="str">
        <f>INDEX('Com Measure Mapping'!V:V,MATCH($C17,'Com Measure Mapping'!B:B,0))</f>
        <v>1 kBtu/hr</v>
      </c>
      <c r="AF17" s="126">
        <f>AC17</f>
        <v>2.5</v>
      </c>
      <c r="AG17" s="126">
        <f>IFERROR(IF($D$2="Original",H17*AC17,H17*AF17),0)</f>
        <v>9140.0714327121241</v>
      </c>
      <c r="AH17" s="133">
        <f>IF(ISERROR(AG17/AA17),0,AG17/AA17)</f>
        <v>7.8734025936661622E-2</v>
      </c>
      <c r="AI17" s="133">
        <f>IF(AA17=0,0,(AG17+AB17)/AA17)</f>
        <v>0.4622820332630842</v>
      </c>
      <c r="AJ17" s="122">
        <f>IFERROR(IF($D$2="Original",IF($AG17=0,"-",(VLOOKUP($X17,AC,7)*$P17)/($AG17+$AB17)),IF($AG17=0,"-",(VLOOKUP($Z17,AC,7)*$P17)/($AG17+$AB17))),0)</f>
        <v>2.5281231323335591</v>
      </c>
      <c r="AK17" s="76"/>
      <c r="AL17" s="133">
        <f>IF(ISERROR(W17/AA17),0,W17/AA17)</f>
        <v>3.7493575675137246E-2</v>
      </c>
      <c r="AM17" s="133">
        <f>IF(AA17=0,0,(W17+AB17)/AA17)</f>
        <v>0.4210415830015598</v>
      </c>
      <c r="AN17" s="122">
        <f>IFERROR(IF($D$2="Original",IF($W17=0,"-",(VLOOKUP($X17,AC,5)*$P17)/(W17+AB17)),IF($W17=0,"-",(VLOOKUP($Z17,AC,5)*$P17)/(W17+AB17))),0)</f>
        <v>2.523408503487119</v>
      </c>
    </row>
    <row r="18" spans="1:40" s="3" customFormat="1" ht="26.25" thickBot="1" x14ac:dyDescent="0.25">
      <c r="B18" s="3">
        <v>11</v>
      </c>
      <c r="C18" s="104" t="str">
        <f>E18&amp;"_"&amp;F18&amp;"_"&amp;G18</f>
        <v>Double Rack Oven_FSTC Qualified_&gt;=50% Cooking Efficiency, &lt;=35,000 Btu/hr Idle Rate</v>
      </c>
      <c r="D18" s="1"/>
      <c r="E18" s="113" t="s">
        <v>48</v>
      </c>
      <c r="F18" s="113" t="s">
        <v>89</v>
      </c>
      <c r="G18" s="113" t="s">
        <v>90</v>
      </c>
      <c r="H18" s="118">
        <f>P18/N18</f>
        <v>0.67760709529985264</v>
      </c>
      <c r="I18" s="177">
        <v>2.3150212676293948E-3</v>
      </c>
      <c r="J18" s="118">
        <v>1806</v>
      </c>
      <c r="K18" s="116" t="s">
        <v>47</v>
      </c>
      <c r="L18" s="147">
        <f>IF(INDEX('Com Measure Mapping'!U:U,MATCH($C18,'Com Measure Mapping'!B:B,0))="N/A",J18,INDEX('Com Measure Mapping'!U:U,MATCH($C18,'Com Measure Mapping'!B:B,0)))</f>
        <v>1837.5733040599432</v>
      </c>
      <c r="M18" s="147" t="str">
        <f>INDEX('Com Measure Mapping'!V:V,MATCH($C18,'Com Measure Mapping'!B:B,0))</f>
        <v>1 unit</v>
      </c>
      <c r="N18" s="118">
        <f>L18</f>
        <v>1837.5733040599432</v>
      </c>
      <c r="O18" s="118">
        <f>H18</f>
        <v>0.67760709529985264</v>
      </c>
      <c r="P18" s="118">
        <f>$P$72*I18</f>
        <v>1245.1527089646111</v>
      </c>
      <c r="Q18" s="125">
        <v>6200</v>
      </c>
      <c r="R18" s="145">
        <f>IF(INDEX('Com Measure Mapping'!W:W,MATCH($C18,'Com Measure Mapping'!B:B,0))="N/A",Q18,INDEX('Com Measure Mapping'!W:W,MATCH($C18,'Com Measure Mapping'!B:B,0)))</f>
        <v>4287.4399999999996</v>
      </c>
      <c r="S18" s="125">
        <f>R18</f>
        <v>4287.4399999999996</v>
      </c>
      <c r="T18" s="125">
        <f>IFERROR(IF($D$2="Original",O18*Q18,O18*S18),0)</f>
        <v>2905.1997646723999</v>
      </c>
      <c r="U18" s="125">
        <v>0</v>
      </c>
      <c r="V18" s="125">
        <f>IFERROR(IF($D$2="Original",PV($F$76,$X18,(-0.05*0.9*$J18)),PV($F$76,$Z18,(-0.05*0.9*$N18))),0)</f>
        <v>803.79213117772849</v>
      </c>
      <c r="W18" s="125">
        <f>IFERROR(IF($D$2="Original",MAX(0,O18*(Q18-U18-V18)),MAX(0,O18*(S18-U18-V18))),0)</f>
        <v>2360.5445134401812</v>
      </c>
      <c r="X18" s="116">
        <v>12</v>
      </c>
      <c r="Y18" s="146">
        <f>IF(INDEX('Com Measure Mapping'!X:X,MATCH($C18,'Com Measure Mapping'!B:B,0))="N/A",X18,INDEX('Com Measure Mapping'!X:X,MATCH($C18,'Com Measure Mapping'!B:B,0)))</f>
        <v>12</v>
      </c>
      <c r="Z18" s="118">
        <f>Y18</f>
        <v>12</v>
      </c>
      <c r="AA18" s="118">
        <f>IFERROR(IF($D$2="Original",PV($F$76,X18,-P18),PV($F$76,Z18,-P18)),0)</f>
        <v>12103.45002738264</v>
      </c>
      <c r="AB18" s="125">
        <f>I18*$AB$72</f>
        <v>3991.9046078154793</v>
      </c>
      <c r="AC18" s="125">
        <v>2500</v>
      </c>
      <c r="AD18" s="145">
        <f>IF(INDEX('Com Measure Mapping'!Y:Y,MATCH($C18,'Com Measure Mapping'!B:B,0))="N/A",AC18,INDEX('Com Measure Mapping'!Y:Y,MATCH($C18,'Com Measure Mapping'!B:B,0)))</f>
        <v>1252.0643825691516</v>
      </c>
      <c r="AE18" s="147" t="str">
        <f>INDEX('Com Measure Mapping'!V:V,MATCH($C18,'Com Measure Mapping'!B:B,0))</f>
        <v>1 unit</v>
      </c>
      <c r="AF18" s="125">
        <f>AC18</f>
        <v>2500</v>
      </c>
      <c r="AG18" s="125">
        <f>IFERROR(IF($D$2="Original",H18*AC18,H18*AF18),0)</f>
        <v>1694.0177382496315</v>
      </c>
      <c r="AH18" s="132">
        <f>IF(ISERROR(AG18/AA18),0,AG18/AA18)</f>
        <v>0.13996155925931156</v>
      </c>
      <c r="AI18" s="132">
        <f>IF(AA18=0,0,(AG18+AB18)/AA18)</f>
        <v>0.46977699194869038</v>
      </c>
      <c r="AJ18" s="121">
        <f>IFERROR(IF($D$2="Original",IF($AG18=0,"-",(VLOOKUP($X18,AC,7)*$P18)/($AG18+$AB18)),IF($AG18=0,"-",(VLOOKUP($Z18,AC,7)*$P18)/($AG18+$AB18))),0)</f>
        <v>2.6051548950963066</v>
      </c>
      <c r="AK18" s="76"/>
      <c r="AL18" s="132">
        <f>IF(ISERROR(W18/AA18),0,W18/AA18)</f>
        <v>0.1950307150522971</v>
      </c>
      <c r="AM18" s="132">
        <f>IF(AA18=0,0,(W18+AB18)/AA18)</f>
        <v>0.52484614774167593</v>
      </c>
      <c r="AN18" s="121">
        <f>IFERROR(IF($D$2="Original",IF($W18=0,"-",(VLOOKUP($X18,AC,5)*$P18)/(W18+AB18)),IF($W18=0,"-",(VLOOKUP($Z18,AC,5)*$P18)/(W18+AB18))),0)</f>
        <v>2.1198278519675511</v>
      </c>
    </row>
    <row r="19" spans="1:40" s="3" customFormat="1" ht="26.25" thickBot="1" x14ac:dyDescent="0.25">
      <c r="B19" s="3">
        <v>12</v>
      </c>
      <c r="C19" s="104" t="str">
        <f>E19&amp;"_"&amp;F19&amp;"_"&amp;G19</f>
        <v>Energy Saver Kit A_Low Flow Kitchen Pre Rinse Spray Valve and Bath Aerators_PRSV &lt;=1 gpm / Aerators &lt;=.75 gpm</v>
      </c>
      <c r="D19" s="1"/>
      <c r="E19" s="114" t="s">
        <v>72</v>
      </c>
      <c r="F19" s="114" t="s">
        <v>73</v>
      </c>
      <c r="G19" s="114" t="s">
        <v>74</v>
      </c>
      <c r="H19" s="120">
        <f>P19/N19</f>
        <v>120.86696629213483</v>
      </c>
      <c r="I19" s="178">
        <v>0.02</v>
      </c>
      <c r="J19" s="120">
        <v>89</v>
      </c>
      <c r="K19" s="117" t="s">
        <v>75</v>
      </c>
      <c r="L19" s="119" t="s">
        <v>250</v>
      </c>
      <c r="M19" s="119" t="str">
        <f>INDEX('Com Measure Mapping'!V:V,MATCH($C19,'Com Measure Mapping'!B:B,0))</f>
        <v>N/A</v>
      </c>
      <c r="N19" s="120">
        <f>J19</f>
        <v>89</v>
      </c>
      <c r="O19" s="120">
        <f>H19</f>
        <v>120.86696629213483</v>
      </c>
      <c r="P19" s="120">
        <f>$P$72*I19</f>
        <v>10757.16</v>
      </c>
      <c r="Q19" s="126">
        <v>119</v>
      </c>
      <c r="R19" s="131" t="s">
        <v>250</v>
      </c>
      <c r="S19" s="126">
        <f>Q19</f>
        <v>119</v>
      </c>
      <c r="T19" s="126">
        <f>IFERROR(IF($D$2="Original",O19*Q19,O19*S19),0)</f>
        <v>14383.168988764046</v>
      </c>
      <c r="U19" s="126">
        <v>0</v>
      </c>
      <c r="V19" s="126">
        <f>IFERROR(IF($D$2="Original",PV($F$76,$X19,(-0.05*0.9*$J19))+PV($F$76,$X19,-3500/1000*10),PV($F$76,$Z19,(-0.05*0.9*$N19))+PV($F$76,$Z19,-3500/1000*10)),0)</f>
        <v>176.60949297439205</v>
      </c>
      <c r="W19" s="126">
        <f>IFERROR(IF($D$2="Original",MAX(0,O19*(Q19-U19-V19)),MAX(0,O19*(S19-U19-V19))),0)</f>
        <v>0</v>
      </c>
      <c r="X19" s="117">
        <v>5</v>
      </c>
      <c r="Y19" s="128" t="s">
        <v>250</v>
      </c>
      <c r="Z19" s="120">
        <f>X19</f>
        <v>5</v>
      </c>
      <c r="AA19" s="120">
        <f>IFERROR(IF($D$2="Original",PV($F$76,X19,-P19),PV($F$76,Z19,-P19)),0)</f>
        <v>48707.000985627768</v>
      </c>
      <c r="AB19" s="126">
        <f>I19*$AB$72</f>
        <v>34486.980000000003</v>
      </c>
      <c r="AC19" s="126">
        <v>0</v>
      </c>
      <c r="AD19" s="131" t="s">
        <v>250</v>
      </c>
      <c r="AE19" s="119" t="str">
        <f>INDEX('Com Measure Mapping'!V:V,MATCH($C19,'Com Measure Mapping'!B:B,0))</f>
        <v>N/A</v>
      </c>
      <c r="AF19" s="126">
        <f>AC19</f>
        <v>0</v>
      </c>
      <c r="AG19" s="126">
        <f>IFERROR(IF($D$2="Original",H19*AC19,H19*AF19),0)</f>
        <v>0</v>
      </c>
      <c r="AH19" s="133">
        <f>IF(ISERROR(AG19/AA19),0,AG19/AA19)</f>
        <v>0</v>
      </c>
      <c r="AI19" s="133">
        <f>IF(AA19=0,0,(AG19+AB19)/AA19)</f>
        <v>0.70804975264595449</v>
      </c>
      <c r="AJ19" s="122" t="str">
        <f>IFERROR(IF($D$2="Original",IF($AG19=0,"-",(VLOOKUP($X19,AC,7)*$P19)/($AG19+$AB19)),IF($AG19=0,"-",(VLOOKUP($Z19,AC,7)*$P19)/($AG19+$AB19))),0)</f>
        <v>-</v>
      </c>
      <c r="AK19" s="76"/>
      <c r="AL19" s="133">
        <f>IF(ISERROR(W19/AA19),0,W19/AA19)</f>
        <v>0</v>
      </c>
      <c r="AM19" s="133">
        <f>IF(AA19=0,0,(W19+AB19)/AA19)</f>
        <v>0.70804975264595449</v>
      </c>
      <c r="AN19" s="122" t="str">
        <f>IFERROR(IF($D$2="Original",IF($W19=0,"-",(VLOOKUP($X19,AC,5)*$P19)/(W19+AB19)),IF($W19=0,"-",(VLOOKUP($Z19,AC,5)*$P19)/(W19+AB19))),0)</f>
        <v>-</v>
      </c>
    </row>
    <row r="20" spans="1:40" s="3" customFormat="1" ht="26.25" thickBot="1" x14ac:dyDescent="0.25">
      <c r="B20" s="163" t="s">
        <v>398</v>
      </c>
      <c r="C20" s="104" t="str">
        <f>E20&amp;"_"&amp;F20&amp;"_"&amp;G20</f>
        <v>Energy Saver Kit A - 30 therms_Low Flow Kitchen Pre Rinse Spray Valve and Bath Aerators_PRSV &lt;=1 gpm / Aerators &lt;=.75 gpm</v>
      </c>
      <c r="D20" s="1"/>
      <c r="E20" s="113" t="s">
        <v>169</v>
      </c>
      <c r="F20" s="113" t="s">
        <v>73</v>
      </c>
      <c r="G20" s="113" t="s">
        <v>74</v>
      </c>
      <c r="H20" s="118">
        <f>P20/N20</f>
        <v>0</v>
      </c>
      <c r="I20" s="177">
        <v>0</v>
      </c>
      <c r="J20" s="118">
        <v>30</v>
      </c>
      <c r="K20" s="116" t="s">
        <v>75</v>
      </c>
      <c r="L20" s="147" t="s">
        <v>250</v>
      </c>
      <c r="M20" s="147" t="str">
        <f>INDEX('Com Measure Mapping'!V:V,MATCH($C20,'Com Measure Mapping'!B:B,0))</f>
        <v>N/A</v>
      </c>
      <c r="N20" s="118">
        <f>J20</f>
        <v>30</v>
      </c>
      <c r="O20" s="118">
        <f>H20</f>
        <v>0</v>
      </c>
      <c r="P20" s="118">
        <f>$P$72*I20</f>
        <v>0</v>
      </c>
      <c r="Q20" s="125">
        <v>119</v>
      </c>
      <c r="R20" s="145" t="s">
        <v>250</v>
      </c>
      <c r="S20" s="125">
        <f>Q20</f>
        <v>119</v>
      </c>
      <c r="T20" s="125">
        <f>IFERROR(IF($D$2="Original",O20*Q20,O20*S20),0)</f>
        <v>0</v>
      </c>
      <c r="U20" s="125">
        <v>0</v>
      </c>
      <c r="V20" s="125">
        <f>IFERROR(IF($D$2="Original",PV($F$76,$X20,(-0.05*0.9*$J20))+PV($F$76,$X20,-1180/1000*10),PV($F$76,$Z20,(-0.05*0.9*$N20))+PV($F$76,$Z20,-1180/1000*10)),0)</f>
        <v>59.541464751012818</v>
      </c>
      <c r="W20" s="125">
        <f>IFERROR(IF($D$2="Original",MAX(0,O20*(Q20-U20-V20)),MAX(0,O20*(S20-U20-V20))),0)</f>
        <v>0</v>
      </c>
      <c r="X20" s="116">
        <v>5</v>
      </c>
      <c r="Y20" s="146" t="s">
        <v>250</v>
      </c>
      <c r="Z20" s="118">
        <f>X20</f>
        <v>5</v>
      </c>
      <c r="AA20" s="118">
        <f>IFERROR(IF($D$2="Original",PV($F$76,X20,-P20),PV($F$76,Z20,-P20)),0)</f>
        <v>0</v>
      </c>
      <c r="AB20" s="125">
        <f>I20*$AB$72</f>
        <v>0</v>
      </c>
      <c r="AC20" s="125">
        <v>0</v>
      </c>
      <c r="AD20" s="145" t="s">
        <v>250</v>
      </c>
      <c r="AE20" s="147" t="str">
        <f>INDEX('Com Measure Mapping'!V:V,MATCH($C20,'Com Measure Mapping'!B:B,0))</f>
        <v>N/A</v>
      </c>
      <c r="AF20" s="125">
        <f>AC20</f>
        <v>0</v>
      </c>
      <c r="AG20" s="125">
        <f>IFERROR(IF($D$2="Original",H20*AC20,H20*AF20),0)</f>
        <v>0</v>
      </c>
      <c r="AH20" s="132">
        <f>IF(ISERROR(AG20/AA20),0,AG20/AA20)</f>
        <v>0</v>
      </c>
      <c r="AI20" s="132">
        <f>IF(AA20=0,0,(AG20+AB20)/AA20)</f>
        <v>0</v>
      </c>
      <c r="AJ20" s="121" t="str">
        <f>IFERROR(IF($D$2="Original",IF($AG20=0,"-",(VLOOKUP($X20,AC,7)*$P20)/($AG20+$AB20)),IF($AG20=0,"-",(VLOOKUP($Z20,AC,7)*$P20)/($AG20+$AB20))),0)</f>
        <v>-</v>
      </c>
      <c r="AK20" s="76"/>
      <c r="AL20" s="132">
        <f>IF(ISERROR(W20/AA20),0,W20/AA20)</f>
        <v>0</v>
      </c>
      <c r="AM20" s="132">
        <f>IF(AA20=0,0,(W20+AB20)/AA20)</f>
        <v>0</v>
      </c>
      <c r="AN20" s="121" t="str">
        <f>IFERROR(IF($D$2="Original",IF($W20=0,"-",(VLOOKUP($X20,AC,5)*$P20)/(W20+AB20)),IF($W20=0,"-",(VLOOKUP($Z20,AC,5)*$P20)/(W20+AB20))),0)</f>
        <v>-</v>
      </c>
    </row>
    <row r="21" spans="1:40" s="3" customFormat="1" ht="26.25" thickBot="1" x14ac:dyDescent="0.25">
      <c r="B21" s="163" t="s">
        <v>399</v>
      </c>
      <c r="C21" s="104" t="str">
        <f>E21&amp;"_"&amp;F21&amp;"_"&amp;G21</f>
        <v>Energy Saver Kit A - 59 therms_Low Flow Kitchen Pre Rinse Spray Valve and Bath Aerators_PRSV &lt;=1 gpm / Aerators &lt;=.75 gpm</v>
      </c>
      <c r="D21" s="1"/>
      <c r="E21" s="114" t="s">
        <v>170</v>
      </c>
      <c r="F21" s="114" t="s">
        <v>73</v>
      </c>
      <c r="G21" s="114" t="s">
        <v>74</v>
      </c>
      <c r="H21" s="120">
        <f>P21/N21</f>
        <v>0</v>
      </c>
      <c r="I21" s="178">
        <v>0</v>
      </c>
      <c r="J21" s="120">
        <v>59</v>
      </c>
      <c r="K21" s="117" t="s">
        <v>75</v>
      </c>
      <c r="L21" s="119" t="s">
        <v>250</v>
      </c>
      <c r="M21" s="119" t="str">
        <f>INDEX('Com Measure Mapping'!V:V,MATCH($C21,'Com Measure Mapping'!B:B,0))</f>
        <v>N/A</v>
      </c>
      <c r="N21" s="120">
        <f>J21</f>
        <v>59</v>
      </c>
      <c r="O21" s="120">
        <f>H21</f>
        <v>0</v>
      </c>
      <c r="P21" s="120">
        <f>$P$72*I21</f>
        <v>0</v>
      </c>
      <c r="Q21" s="126">
        <v>119</v>
      </c>
      <c r="R21" s="131" t="s">
        <v>250</v>
      </c>
      <c r="S21" s="126">
        <f>Q21</f>
        <v>119</v>
      </c>
      <c r="T21" s="126">
        <f>IFERROR(IF($D$2="Original",O21*Q21,O21*S21),0)</f>
        <v>0</v>
      </c>
      <c r="U21" s="126">
        <v>0</v>
      </c>
      <c r="V21" s="126">
        <f>IFERROR(IF($D$2="Original",PV($F$76,$X21,(-0.05*0.9*$J21))+PV($F$76,$X21,-2300/1000*10),PV($F$76,$Z21,(-0.05*0.9*$N21))+PV($F$76,$Z21,-2300/1000*10)),0)</f>
        <v>116.16245461499879</v>
      </c>
      <c r="W21" s="126">
        <f>IFERROR(IF($D$2="Original",MAX(0,O21*(Q21-U21-V21)),MAX(0,O21*(S21-U21-V21))),0)</f>
        <v>0</v>
      </c>
      <c r="X21" s="117">
        <v>5</v>
      </c>
      <c r="Y21" s="128" t="s">
        <v>250</v>
      </c>
      <c r="Z21" s="120">
        <f>X21</f>
        <v>5</v>
      </c>
      <c r="AA21" s="120">
        <f>IFERROR(IF($D$2="Original",PV($F$76,X21,-P21),PV($F$76,Z21,-P21)),0)</f>
        <v>0</v>
      </c>
      <c r="AB21" s="126">
        <f>I21*$AB$72</f>
        <v>0</v>
      </c>
      <c r="AC21" s="126">
        <v>0</v>
      </c>
      <c r="AD21" s="131" t="s">
        <v>250</v>
      </c>
      <c r="AE21" s="119" t="str">
        <f>INDEX('Com Measure Mapping'!V:V,MATCH($C21,'Com Measure Mapping'!B:B,0))</f>
        <v>N/A</v>
      </c>
      <c r="AF21" s="126">
        <f>AC21</f>
        <v>0</v>
      </c>
      <c r="AG21" s="126">
        <f>IFERROR(IF($D$2="Original",H21*AC21,H21*AF21),0)</f>
        <v>0</v>
      </c>
      <c r="AH21" s="133">
        <f>IF(ISERROR(AG21/AA21),0,AG21/AA21)</f>
        <v>0</v>
      </c>
      <c r="AI21" s="133">
        <f>IF(AA21=0,0,(AG21+AB21)/AA21)</f>
        <v>0</v>
      </c>
      <c r="AJ21" s="122" t="str">
        <f>IFERROR(IF($D$2="Original",IF($AG21=0,"-",(VLOOKUP($X21,AC,7)*$P21)/($AG21+$AB21)),IF($AG21=0,"-",(VLOOKUP($Z21,AC,7)*$P21)/($AG21+$AB21))),0)</f>
        <v>-</v>
      </c>
      <c r="AK21" s="76"/>
      <c r="AL21" s="133">
        <f>IF(ISERROR(W21/AA21),0,W21/AA21)</f>
        <v>0</v>
      </c>
      <c r="AM21" s="133">
        <f>IF(AA21=0,0,(W21+AB21)/AA21)</f>
        <v>0</v>
      </c>
      <c r="AN21" s="122" t="str">
        <f>IFERROR(IF($D$2="Original",IF($W21=0,"-",(VLOOKUP($X21,AC,5)*$P21)/(W21+AB21)),IF($W21=0,"-",(VLOOKUP($Z21,AC,5)*$P21)/(W21+AB21))),0)</f>
        <v>-</v>
      </c>
    </row>
    <row r="22" spans="1:40" s="3" customFormat="1" ht="13.5" thickBot="1" x14ac:dyDescent="0.25">
      <c r="B22" s="163" t="s">
        <v>400</v>
      </c>
      <c r="C22" s="104" t="str">
        <f>E22&amp;"_"&amp;F22&amp;"_"&amp;G22</f>
        <v>Energy Saver Kit B_Low Flow Showerheads_Showerhead &lt;= 1.85 gpm</v>
      </c>
      <c r="D22" s="1"/>
      <c r="E22" s="113" t="s">
        <v>79</v>
      </c>
      <c r="F22" s="113" t="s">
        <v>80</v>
      </c>
      <c r="G22" s="113" t="s">
        <v>81</v>
      </c>
      <c r="H22" s="118">
        <f>P22/N22</f>
        <v>0</v>
      </c>
      <c r="I22" s="177">
        <v>0</v>
      </c>
      <c r="J22" s="118">
        <v>35</v>
      </c>
      <c r="K22" s="116" t="s">
        <v>75</v>
      </c>
      <c r="L22" s="147" t="s">
        <v>250</v>
      </c>
      <c r="M22" s="147" t="str">
        <f>INDEX('Com Measure Mapping'!V:V,MATCH($C22,'Com Measure Mapping'!B:B,0))</f>
        <v>N/A</v>
      </c>
      <c r="N22" s="118">
        <f>J22</f>
        <v>35</v>
      </c>
      <c r="O22" s="118">
        <f>H22</f>
        <v>0</v>
      </c>
      <c r="P22" s="118">
        <f>$P$72*I22</f>
        <v>0</v>
      </c>
      <c r="Q22" s="125">
        <v>44</v>
      </c>
      <c r="R22" s="145" t="s">
        <v>250</v>
      </c>
      <c r="S22" s="125">
        <f>Q22</f>
        <v>44</v>
      </c>
      <c r="T22" s="125">
        <f>IFERROR(IF($D$2="Original",O22*Q22,O22*S22),0)</f>
        <v>0</v>
      </c>
      <c r="U22" s="125">
        <v>0</v>
      </c>
      <c r="V22" s="125">
        <f>IFERROR(IF($D$2="Original",PV($F$76,$X22,(-0.05*0.9*$J22))+PV($F$76,$X22,-900/1000*10),PV($F$76,$Z22,(-0.05*0.9*$N22))+PV($F$76,$Z22,-900/1000*10)),0)</f>
        <v>88.393062759525691</v>
      </c>
      <c r="W22" s="125">
        <f>IFERROR(IF($D$2="Original",MAX(0,O22*(Q22-U22-V22)),MAX(0,O22*(S22-U22-V22))),0)</f>
        <v>0</v>
      </c>
      <c r="X22" s="116">
        <v>10</v>
      </c>
      <c r="Y22" s="146" t="s">
        <v>250</v>
      </c>
      <c r="Z22" s="118">
        <f>X22</f>
        <v>10</v>
      </c>
      <c r="AA22" s="118">
        <f>IFERROR(IF($D$2="Original",PV($F$76,X22,-P22),PV($F$76,Z22,-P22)),0)</f>
        <v>0</v>
      </c>
      <c r="AB22" s="125">
        <f>I22*$AB$72</f>
        <v>0</v>
      </c>
      <c r="AC22" s="125">
        <v>0</v>
      </c>
      <c r="AD22" s="145" t="s">
        <v>250</v>
      </c>
      <c r="AE22" s="147" t="str">
        <f>INDEX('Com Measure Mapping'!V:V,MATCH($C22,'Com Measure Mapping'!B:B,0))</f>
        <v>N/A</v>
      </c>
      <c r="AF22" s="125">
        <f>AC22</f>
        <v>0</v>
      </c>
      <c r="AG22" s="125">
        <f>IFERROR(IF($D$2="Original",H22*AC22,H22*AF22),0)</f>
        <v>0</v>
      </c>
      <c r="AH22" s="132">
        <f>IF(ISERROR(AG22/AA22),0,AG22/AA22)</f>
        <v>0</v>
      </c>
      <c r="AI22" s="132">
        <f>IF(AA22=0,0,(AG22+AB22)/AA22)</f>
        <v>0</v>
      </c>
      <c r="AJ22" s="121" t="str">
        <f>IFERROR(IF($D$2="Original",IF($AG22=0,"-",(VLOOKUP($X22,AC,7)*$P22)/($AG22+$AB22)),IF($AG22=0,"-",(VLOOKUP($Z22,AC,7)*$P22)/($AG22+$AB22))),0)</f>
        <v>-</v>
      </c>
      <c r="AK22" s="76"/>
      <c r="AL22" s="132">
        <f>IF(ISERROR(W22/AA22),0,W22/AA22)</f>
        <v>0</v>
      </c>
      <c r="AM22" s="132">
        <f>IF(AA22=0,0,(W22+AB22)/AA22)</f>
        <v>0</v>
      </c>
      <c r="AN22" s="121" t="str">
        <f>IFERROR(IF($D$2="Original",IF($W22=0,"-",(VLOOKUP($X22,AC,5)*$P22)/(W22+AB22)),IF($W22=0,"-",(VLOOKUP($Z22,AC,5)*$P22)/(W22+AB22))),0)</f>
        <v>-</v>
      </c>
    </row>
    <row r="23" spans="1:40" s="3" customFormat="1" ht="13.5" thickBot="1" x14ac:dyDescent="0.25">
      <c r="B23" s="3">
        <v>16</v>
      </c>
      <c r="C23" s="104" t="str">
        <f>E23&amp;"_"&amp;F23&amp;"_"&amp;G23</f>
        <v>Fryer (Grocery)_Energy Star_&gt;=50% Cooking Efficiency</v>
      </c>
      <c r="D23" s="1"/>
      <c r="E23" s="114" t="s">
        <v>138</v>
      </c>
      <c r="F23" s="114" t="s">
        <v>15</v>
      </c>
      <c r="G23" s="114" t="s">
        <v>98</v>
      </c>
      <c r="H23" s="120">
        <v>0</v>
      </c>
      <c r="I23" s="178">
        <v>0</v>
      </c>
      <c r="J23" s="120">
        <v>388</v>
      </c>
      <c r="K23" s="117" t="s">
        <v>99</v>
      </c>
      <c r="L23" s="119">
        <f>IF(INDEX('Com Measure Mapping'!U:U,MATCH($C23,'Com Measure Mapping'!B:B,0))="N/A",J23,INDEX('Com Measure Mapping'!U:U,MATCH($C23,'Com Measure Mapping'!B:B,0)))</f>
        <v>417.20195761174483</v>
      </c>
      <c r="M23" s="119" t="str">
        <f>INDEX('Com Measure Mapping'!V:V,MATCH($C23,'Com Measure Mapping'!B:B,0))</f>
        <v>1 unit</v>
      </c>
      <c r="N23" s="120">
        <v>0</v>
      </c>
      <c r="O23" s="120">
        <f>H23</f>
        <v>0</v>
      </c>
      <c r="P23" s="120">
        <f>$P$72*I23</f>
        <v>0</v>
      </c>
      <c r="Q23" s="126">
        <v>1400</v>
      </c>
      <c r="R23" s="131">
        <f>IF(INDEX('Com Measure Mapping'!W:W,MATCH($C23,'Com Measure Mapping'!B:B,0))="N/A",Q23,INDEX('Com Measure Mapping'!W:W,MATCH($C23,'Com Measure Mapping'!B:B,0)))</f>
        <v>902.15</v>
      </c>
      <c r="S23" s="126">
        <v>0</v>
      </c>
      <c r="T23" s="126">
        <f>IFERROR(IF($D$2="Original",O23*Q23,O23*S23),0)</f>
        <v>0</v>
      </c>
      <c r="U23" s="126">
        <v>0</v>
      </c>
      <c r="V23" s="126">
        <f>IFERROR(IF($D$2="Original",PV($F$76,$X23,(-0.05*0.9*$J23)),PV($F$76,$Z23,(-0.05*0.9*$N23))),0)</f>
        <v>0</v>
      </c>
      <c r="W23" s="126">
        <f>IFERROR(IF($D$2="Original",MAX(0,O23*(Q23-U23-V23)),MAX(0,O23*(S23-U23-V23))),0)</f>
        <v>0</v>
      </c>
      <c r="X23" s="117">
        <v>12</v>
      </c>
      <c r="Y23" s="128">
        <f>IF(INDEX('Com Measure Mapping'!X:X,MATCH($C23,'Com Measure Mapping'!B:B,0))="N/A",X23,INDEX('Com Measure Mapping'!X:X,MATCH($C23,'Com Measure Mapping'!B:B,0)))</f>
        <v>5.5</v>
      </c>
      <c r="Z23" s="120">
        <v>0</v>
      </c>
      <c r="AA23" s="120">
        <f>IFERROR(IF($D$2="Original",PV($F$76,X23,-P23),PV($F$76,Z23,-P23)),0)</f>
        <v>0</v>
      </c>
      <c r="AB23" s="126">
        <f>I23*$AB$72</f>
        <v>0</v>
      </c>
      <c r="AC23" s="126">
        <v>750</v>
      </c>
      <c r="AD23" s="131">
        <f>IF(INDEX('Com Measure Mapping'!Y:Y,MATCH($C23,'Com Measure Mapping'!B:B,0))="N/A",AC23,INDEX('Com Measure Mapping'!Y:Y,MATCH($C23,'Com Measure Mapping'!B:B,0)))</f>
        <v>563.84362499999997</v>
      </c>
      <c r="AE23" s="119" t="str">
        <f>INDEX('Com Measure Mapping'!V:V,MATCH($C23,'Com Measure Mapping'!B:B,0))</f>
        <v>1 unit</v>
      </c>
      <c r="AF23" s="126">
        <v>0</v>
      </c>
      <c r="AG23" s="126">
        <f>IFERROR(IF($D$2="Original",H23*AC23,H23*AF23),0)</f>
        <v>0</v>
      </c>
      <c r="AH23" s="133">
        <f>IF(ISERROR(AG23/AA23),0,AG23/AA23)</f>
        <v>0</v>
      </c>
      <c r="AI23" s="133">
        <f>IF(AA23=0,0,(AG23+AB23)/AA23)</f>
        <v>0</v>
      </c>
      <c r="AJ23" s="122" t="str">
        <f>IFERROR(IF($D$2="Original",IF($AG23=0,"-",(VLOOKUP($X23,AC,7)*$P23)/($AG23+$AB23)),IF($AG23=0,"-",(VLOOKUP($Z23,AC,7)*$P23)/($AG23+$AB23))),0)</f>
        <v>-</v>
      </c>
      <c r="AK23" s="76"/>
      <c r="AL23" s="133">
        <f>IF(ISERROR(W23/AA23),0,W23/AA23)</f>
        <v>0</v>
      </c>
      <c r="AM23" s="133">
        <f>IF(AA23=0,0,(W23+AB23)/AA23)</f>
        <v>0</v>
      </c>
      <c r="AN23" s="122" t="str">
        <f>IFERROR(IF($D$2="Original",IF($W23=0,"-",(VLOOKUP($X23,AC,5)*$P23)/(W23+AB23)),IF($W23=0,"-",(VLOOKUP($Z23,AC,5)*$P23)/(W23+AB23))),0)</f>
        <v>-</v>
      </c>
    </row>
    <row r="24" spans="1:40" s="3" customFormat="1" ht="13.5" thickBot="1" x14ac:dyDescent="0.25">
      <c r="B24" s="3">
        <v>16</v>
      </c>
      <c r="C24" s="104" t="str">
        <f>E24&amp;"_"&amp;F24&amp;"_"&amp;G24</f>
        <v>Fryer (Lodging)_Energy Star_&gt;=50% Cooking Efficiency</v>
      </c>
      <c r="E24" s="113" t="s">
        <v>139</v>
      </c>
      <c r="F24" s="113" t="s">
        <v>15</v>
      </c>
      <c r="G24" s="113" t="s">
        <v>98</v>
      </c>
      <c r="H24" s="118">
        <v>0</v>
      </c>
      <c r="I24" s="177">
        <v>0</v>
      </c>
      <c r="J24" s="118">
        <v>231</v>
      </c>
      <c r="K24" s="116" t="s">
        <v>99</v>
      </c>
      <c r="L24" s="147">
        <f>IF(INDEX('Com Measure Mapping'!U:U,MATCH($C24,'Com Measure Mapping'!B:B,0))="N/A",J24,INDEX('Com Measure Mapping'!U:U,MATCH($C24,'Com Measure Mapping'!B:B,0)))</f>
        <v>417.20195761174477</v>
      </c>
      <c r="M24" s="147" t="str">
        <f>INDEX('Com Measure Mapping'!V:V,MATCH($C24,'Com Measure Mapping'!B:B,0))</f>
        <v>1 unit</v>
      </c>
      <c r="N24" s="118">
        <v>0</v>
      </c>
      <c r="O24" s="118">
        <f>H24</f>
        <v>0</v>
      </c>
      <c r="P24" s="118">
        <f>$P$72*I24</f>
        <v>0</v>
      </c>
      <c r="Q24" s="125">
        <v>1400</v>
      </c>
      <c r="R24" s="145">
        <f>IF(INDEX('Com Measure Mapping'!W:W,MATCH($C24,'Com Measure Mapping'!B:B,0))="N/A",Q24,INDEX('Com Measure Mapping'!W:W,MATCH($C24,'Com Measure Mapping'!B:B,0)))</f>
        <v>902.15</v>
      </c>
      <c r="S24" s="125">
        <v>0</v>
      </c>
      <c r="T24" s="125">
        <f>IFERROR(IF($D$2="Original",O24*Q24,O24*S24),0)</f>
        <v>0</v>
      </c>
      <c r="U24" s="125">
        <v>0</v>
      </c>
      <c r="V24" s="125">
        <f>IFERROR(IF($D$2="Original",PV($F$76,$X24,(-0.05*0.9*$J24)),PV($F$76,$Z24,(-0.05*0.9*$N24))),0)</f>
        <v>0</v>
      </c>
      <c r="W24" s="125">
        <f>IFERROR(IF($D$2="Original",MAX(0,O24*(Q24-U24-V24)),MAX(0,O24*(S24-U24-V24))),0)</f>
        <v>0</v>
      </c>
      <c r="X24" s="116">
        <v>12</v>
      </c>
      <c r="Y24" s="146">
        <f>IF(INDEX('Com Measure Mapping'!X:X,MATCH($C24,'Com Measure Mapping'!B:B,0))="N/A",X24,INDEX('Com Measure Mapping'!X:X,MATCH($C24,'Com Measure Mapping'!B:B,0)))</f>
        <v>5.5</v>
      </c>
      <c r="Z24" s="118">
        <v>0</v>
      </c>
      <c r="AA24" s="118">
        <f>IFERROR(IF($D$2="Original",PV($F$76,X24,-P24),PV($F$76,Z24,-P24)),0)</f>
        <v>0</v>
      </c>
      <c r="AB24" s="125">
        <f>I24*$AB$72</f>
        <v>0</v>
      </c>
      <c r="AC24" s="125">
        <v>750</v>
      </c>
      <c r="AD24" s="145">
        <f>IF(INDEX('Com Measure Mapping'!Y:Y,MATCH($C24,'Com Measure Mapping'!B:B,0))="N/A",AC24,INDEX('Com Measure Mapping'!Y:Y,MATCH($C24,'Com Measure Mapping'!B:B,0)))</f>
        <v>563.84362499999997</v>
      </c>
      <c r="AE24" s="147" t="str">
        <f>INDEX('Com Measure Mapping'!V:V,MATCH($C24,'Com Measure Mapping'!B:B,0))</f>
        <v>1 unit</v>
      </c>
      <c r="AF24" s="125">
        <v>0</v>
      </c>
      <c r="AG24" s="125">
        <f>IFERROR(IF($D$2="Original",H24*AC24,H24*AF24),0)</f>
        <v>0</v>
      </c>
      <c r="AH24" s="132">
        <f>IF(ISERROR(AG24/AA24),0,AG24/AA24)</f>
        <v>0</v>
      </c>
      <c r="AI24" s="132">
        <f>IF(AA24=0,0,(AG24+AB24)/AA24)</f>
        <v>0</v>
      </c>
      <c r="AJ24" s="121" t="str">
        <f>IFERROR(IF($D$2="Original",IF($AG24=0,"-",(VLOOKUP($X24,AC,7)*$P24)/($AG24+$AB24)),IF($AG24=0,"-",(VLOOKUP($Z24,AC,7)*$P24)/($AG24+$AB24))),0)</f>
        <v>-</v>
      </c>
      <c r="AK24" s="76"/>
      <c r="AL24" s="132">
        <f>IF(ISERROR(W24/AA24),0,W24/AA24)</f>
        <v>0</v>
      </c>
      <c r="AM24" s="132">
        <f>IF(AA24=0,0,(W24+AB24)/AA24)</f>
        <v>0</v>
      </c>
      <c r="AN24" s="121" t="str">
        <f>IFERROR(IF($D$2="Original",IF($W24=0,"-",(VLOOKUP($X24,AC,5)*$P24)/(W24+AB24)),IF($W24=0,"-",(VLOOKUP($Z24,AC,5)*$P24)/(W24+AB24))),0)</f>
        <v>-</v>
      </c>
    </row>
    <row r="25" spans="1:40" s="3" customFormat="1" ht="13.5" thickBot="1" x14ac:dyDescent="0.25">
      <c r="B25" s="3">
        <v>16</v>
      </c>
      <c r="C25" s="104" t="str">
        <f>E25&amp;"_"&amp;F25&amp;"_"&amp;G25</f>
        <v>Fryer (Restaurant)_Energy Star_&gt;=50% Cooking Efficiency</v>
      </c>
      <c r="D25" s="1"/>
      <c r="E25" s="114" t="s">
        <v>97</v>
      </c>
      <c r="F25" s="114" t="s">
        <v>15</v>
      </c>
      <c r="G25" s="114" t="s">
        <v>98</v>
      </c>
      <c r="H25" s="120">
        <v>0</v>
      </c>
      <c r="I25" s="178">
        <v>0</v>
      </c>
      <c r="J25" s="120">
        <v>685</v>
      </c>
      <c r="K25" s="117" t="s">
        <v>99</v>
      </c>
      <c r="L25" s="119">
        <f>IF(INDEX('Com Measure Mapping'!U:U,MATCH($C25,'Com Measure Mapping'!B:B,0))="N/A",J25,INDEX('Com Measure Mapping'!U:U,MATCH($C25,'Com Measure Mapping'!B:B,0)))</f>
        <v>417.20195761174477</v>
      </c>
      <c r="M25" s="119" t="str">
        <f>INDEX('Com Measure Mapping'!V:V,MATCH($C25,'Com Measure Mapping'!B:B,0))</f>
        <v>1 unit</v>
      </c>
      <c r="N25" s="120">
        <v>0</v>
      </c>
      <c r="O25" s="120">
        <f>H25</f>
        <v>0</v>
      </c>
      <c r="P25" s="120">
        <f>$P$72*I25</f>
        <v>0</v>
      </c>
      <c r="Q25" s="126">
        <v>1400</v>
      </c>
      <c r="R25" s="131">
        <f>IF(INDEX('Com Measure Mapping'!W:W,MATCH($C25,'Com Measure Mapping'!B:B,0))="N/A",Q25,INDEX('Com Measure Mapping'!W:W,MATCH($C25,'Com Measure Mapping'!B:B,0)))</f>
        <v>902.15</v>
      </c>
      <c r="S25" s="126">
        <v>0</v>
      </c>
      <c r="T25" s="126">
        <f>IFERROR(IF($D$2="Original",O25*Q25,O25*S25),0)</f>
        <v>0</v>
      </c>
      <c r="U25" s="126">
        <v>0</v>
      </c>
      <c r="V25" s="126">
        <f>IFERROR(IF($D$2="Original",PV($F$76,$X25,(-0.05*0.9*$J25)),PV($F$76,$Z25,(-0.05*0.9*$N25))),0)</f>
        <v>0</v>
      </c>
      <c r="W25" s="126">
        <f>IFERROR(IF($D$2="Original",MAX(0,O25*(Q25-U25-V25)),MAX(0,O25*(S25-U25-V25))),0)</f>
        <v>0</v>
      </c>
      <c r="X25" s="117">
        <v>12</v>
      </c>
      <c r="Y25" s="128">
        <f>IF(INDEX('Com Measure Mapping'!X:X,MATCH($C25,'Com Measure Mapping'!B:B,0))="N/A",X25,INDEX('Com Measure Mapping'!X:X,MATCH($C25,'Com Measure Mapping'!B:B,0)))</f>
        <v>5.5</v>
      </c>
      <c r="Z25" s="120">
        <v>0</v>
      </c>
      <c r="AA25" s="120">
        <f>IFERROR(IF($D$2="Original",PV($F$76,X25,-P25),PV($F$76,Z25,-P25)),0)</f>
        <v>0</v>
      </c>
      <c r="AB25" s="126">
        <f>I25*$AB$72</f>
        <v>0</v>
      </c>
      <c r="AC25" s="126">
        <v>750</v>
      </c>
      <c r="AD25" s="131">
        <f>IF(INDEX('Com Measure Mapping'!Y:Y,MATCH($C25,'Com Measure Mapping'!B:B,0))="N/A",AC25,INDEX('Com Measure Mapping'!Y:Y,MATCH($C25,'Com Measure Mapping'!B:B,0)))</f>
        <v>563.84362499999997</v>
      </c>
      <c r="AE25" s="119" t="str">
        <f>INDEX('Com Measure Mapping'!V:V,MATCH($C25,'Com Measure Mapping'!B:B,0))</f>
        <v>1 unit</v>
      </c>
      <c r="AF25" s="126">
        <v>0</v>
      </c>
      <c r="AG25" s="126">
        <f>IFERROR(IF($D$2="Original",H25*AC25,H25*AF25),0)</f>
        <v>0</v>
      </c>
      <c r="AH25" s="133">
        <f>IF(ISERROR(AG25/AA25),0,AG25/AA25)</f>
        <v>0</v>
      </c>
      <c r="AI25" s="133">
        <f>IF(AA25=0,0,(AG25+AB25)/AA25)</f>
        <v>0</v>
      </c>
      <c r="AJ25" s="122" t="str">
        <f>IFERROR(IF($D$2="Original",IF($AG25=0,"-",(VLOOKUP($X25,AC,7)*$P25)/($AG25+$AB25)),IF($AG25=0,"-",(VLOOKUP($Z25,AC,7)*$P25)/($AG25+$AB25))),0)</f>
        <v>-</v>
      </c>
      <c r="AK25" s="76"/>
      <c r="AL25" s="133">
        <f>IF(ISERROR(W25/AA25),0,W25/AA25)</f>
        <v>0</v>
      </c>
      <c r="AM25" s="133">
        <f>IF(AA25=0,0,(W25+AB25)/AA25)</f>
        <v>0</v>
      </c>
      <c r="AN25" s="122" t="str">
        <f>IFERROR(IF($D$2="Original",IF($W25=0,"-",(VLOOKUP($X25,AC,5)*$P25)/(W25+AB25)),IF($W25=0,"-",(VLOOKUP($Z25,AC,5)*$P25)/(W25+AB25))),0)</f>
        <v>-</v>
      </c>
    </row>
    <row r="26" spans="1:40" s="3" customFormat="1" ht="13.5" thickBot="1" x14ac:dyDescent="0.25">
      <c r="B26" s="3">
        <v>16</v>
      </c>
      <c r="C26" s="104" t="str">
        <f>E26&amp;"_"&amp;F26&amp;"_"&amp;G26</f>
        <v>Fryer (School)_Energy Star_&gt;=50% Cooking Efficiency</v>
      </c>
      <c r="D26" s="1"/>
      <c r="E26" s="113" t="s">
        <v>140</v>
      </c>
      <c r="F26" s="113" t="s">
        <v>15</v>
      </c>
      <c r="G26" s="113" t="s">
        <v>98</v>
      </c>
      <c r="H26" s="118">
        <v>0</v>
      </c>
      <c r="I26" s="177">
        <v>0</v>
      </c>
      <c r="J26" s="118">
        <v>149</v>
      </c>
      <c r="K26" s="116" t="s">
        <v>99</v>
      </c>
      <c r="L26" s="147">
        <f>IF(INDEX('Com Measure Mapping'!U:U,MATCH($C26,'Com Measure Mapping'!B:B,0))="N/A",J26,INDEX('Com Measure Mapping'!U:U,MATCH($C26,'Com Measure Mapping'!B:B,0)))</f>
        <v>417.20195761174472</v>
      </c>
      <c r="M26" s="147" t="str">
        <f>INDEX('Com Measure Mapping'!V:V,MATCH($C26,'Com Measure Mapping'!B:B,0))</f>
        <v>1 unit</v>
      </c>
      <c r="N26" s="118">
        <v>0</v>
      </c>
      <c r="O26" s="118">
        <f>H26</f>
        <v>0</v>
      </c>
      <c r="P26" s="118">
        <f>$P$72*I26</f>
        <v>0</v>
      </c>
      <c r="Q26" s="125">
        <v>1400</v>
      </c>
      <c r="R26" s="145">
        <f>IF(INDEX('Com Measure Mapping'!W:W,MATCH($C26,'Com Measure Mapping'!B:B,0))="N/A",Q26,INDEX('Com Measure Mapping'!W:W,MATCH($C26,'Com Measure Mapping'!B:B,0)))</f>
        <v>902.15</v>
      </c>
      <c r="S26" s="125">
        <v>0</v>
      </c>
      <c r="T26" s="125">
        <f>IFERROR(IF($D$2="Original",O26*Q26,O26*S26),0)</f>
        <v>0</v>
      </c>
      <c r="U26" s="125">
        <v>0</v>
      </c>
      <c r="V26" s="125">
        <f>IFERROR(IF($D$2="Original",PV($F$76,$X26,(-0.05*0.9*$J26)),PV($F$76,$Z26,(-0.05*0.9*$N26))),0)</f>
        <v>0</v>
      </c>
      <c r="W26" s="125">
        <f>IFERROR(IF($D$2="Original",MAX(0,O26*(Q26-U26-V26)),MAX(0,O26*(S26-U26-V26))),0)</f>
        <v>0</v>
      </c>
      <c r="X26" s="116">
        <v>12</v>
      </c>
      <c r="Y26" s="146">
        <f>IF(INDEX('Com Measure Mapping'!X:X,MATCH($C26,'Com Measure Mapping'!B:B,0))="N/A",X26,INDEX('Com Measure Mapping'!X:X,MATCH($C26,'Com Measure Mapping'!B:B,0)))</f>
        <v>5.5</v>
      </c>
      <c r="Z26" s="118">
        <v>0</v>
      </c>
      <c r="AA26" s="118">
        <f>IFERROR(IF($D$2="Original",PV($F$76,X26,-P26),PV($F$76,Z26,-P26)),0)</f>
        <v>0</v>
      </c>
      <c r="AB26" s="125">
        <f>I26*$AB$72</f>
        <v>0</v>
      </c>
      <c r="AC26" s="125">
        <v>750</v>
      </c>
      <c r="AD26" s="145">
        <f>IF(INDEX('Com Measure Mapping'!Y:Y,MATCH($C26,'Com Measure Mapping'!B:B,0))="N/A",AC26,INDEX('Com Measure Mapping'!Y:Y,MATCH($C26,'Com Measure Mapping'!B:B,0)))</f>
        <v>563.84362499999997</v>
      </c>
      <c r="AE26" s="147" t="str">
        <f>INDEX('Com Measure Mapping'!V:V,MATCH($C26,'Com Measure Mapping'!B:B,0))</f>
        <v>1 unit</v>
      </c>
      <c r="AF26" s="125">
        <v>0</v>
      </c>
      <c r="AG26" s="125">
        <f>IFERROR(IF($D$2="Original",H26*AC26,H26*AF26),0)</f>
        <v>0</v>
      </c>
      <c r="AH26" s="132">
        <f>IF(ISERROR(AG26/AA26),0,AG26/AA26)</f>
        <v>0</v>
      </c>
      <c r="AI26" s="132">
        <f>IF(AA26=0,0,(AG26+AB26)/AA26)</f>
        <v>0</v>
      </c>
      <c r="AJ26" s="121" t="str">
        <f>IFERROR(IF($D$2="Original",IF($AG26=0,"-",(VLOOKUP($X26,AC,7)*$P26)/($AG26+$AB26)),IF($AG26=0,"-",(VLOOKUP($Z26,AC,7)*$P26)/($AG26+$AB26))),0)</f>
        <v>-</v>
      </c>
      <c r="AK26" s="76"/>
      <c r="AL26" s="132">
        <f>IF(ISERROR(W26/AA26),0,W26/AA26)</f>
        <v>0</v>
      </c>
      <c r="AM26" s="132">
        <f>IF(AA26=0,0,(W26+AB26)/AA26)</f>
        <v>0</v>
      </c>
      <c r="AN26" s="121" t="str">
        <f>IFERROR(IF($D$2="Original",IF($W26=0,"-",(VLOOKUP($X26,AC,5)*$P26)/(W26+AB26)),IF($W26=0,"-",(VLOOKUP($Z26,AC,5)*$P26)/(W26+AB26))),0)</f>
        <v>-</v>
      </c>
    </row>
    <row r="27" spans="1:40" s="3" customFormat="1" ht="26.25" thickBot="1" x14ac:dyDescent="0.25">
      <c r="A27" s="167"/>
      <c r="B27" s="3">
        <v>15</v>
      </c>
      <c r="C27" s="104" t="str">
        <f>E27&amp;"_"&amp;F27&amp;"_"&amp;G27</f>
        <v>Gas Conveyor Oven_FSTC Qualified Gas Fired Conveyor Oven_&gt;=42% Baking Efficiency</v>
      </c>
      <c r="D27" s="1"/>
      <c r="E27" s="114" t="s">
        <v>60</v>
      </c>
      <c r="F27" s="114" t="s">
        <v>103</v>
      </c>
      <c r="G27" s="114" t="s">
        <v>104</v>
      </c>
      <c r="H27" s="120">
        <f>P27/N27</f>
        <v>8.0587185763276867</v>
      </c>
      <c r="I27" s="178">
        <v>9.9009159190095331E-3</v>
      </c>
      <c r="J27" s="120">
        <v>77</v>
      </c>
      <c r="K27" s="117" t="s">
        <v>86</v>
      </c>
      <c r="L27" s="119">
        <f>IF(INDEX('Com Measure Mapping'!U:U,MATCH($C27,'Com Measure Mapping'!B:B,0))="N/A",J27,INDEX('Com Measure Mapping'!U:U,MATCH($C27,'Com Measure Mapping'!B:B,0)))</f>
        <v>660.81062192809975</v>
      </c>
      <c r="M27" s="119" t="str">
        <f>INDEX('Com Measure Mapping'!V:V,MATCH($C27,'Com Measure Mapping'!B:B,0))</f>
        <v>1 unit</v>
      </c>
      <c r="N27" s="120">
        <f>L27</f>
        <v>660.81062192809975</v>
      </c>
      <c r="O27" s="120">
        <f>H27</f>
        <v>8.0587185763276867</v>
      </c>
      <c r="P27" s="120">
        <f>$P$72*I27</f>
        <v>5325.2868343666296</v>
      </c>
      <c r="Q27" s="126">
        <v>1800</v>
      </c>
      <c r="R27" s="131">
        <f>IF(INDEX('Com Measure Mapping'!W:W,MATCH($C27,'Com Measure Mapping'!B:B,0))="N/A",Q27,INDEX('Com Measure Mapping'!W:W,MATCH($C27,'Com Measure Mapping'!B:B,0)))</f>
        <v>2238.0559090909096</v>
      </c>
      <c r="S27" s="126">
        <f>R27</f>
        <v>2238.0559090909096</v>
      </c>
      <c r="T27" s="126">
        <f>IFERROR(IF($D$2="Original",O27*Q27,O27*S27),0)</f>
        <v>18035.862729450862</v>
      </c>
      <c r="U27" s="126">
        <v>0</v>
      </c>
      <c r="V27" s="126">
        <f>IFERROR(IF($D$2="Original",PV($F$76,$X27,(-0.05*0.9*$J27)),PV($F$76,$Z27,(-0.05*0.9*$N27))),0)</f>
        <v>379.19607589578902</v>
      </c>
      <c r="W27" s="126">
        <f>IFERROR(IF($D$2="Original",MAX(0,O27*(Q27-U27-V27)),MAX(0,O27*(S27-U27-V27))),0)</f>
        <v>14980.028268558905</v>
      </c>
      <c r="X27" s="117">
        <v>16</v>
      </c>
      <c r="Y27" s="128">
        <f>IF(INDEX('Com Measure Mapping'!X:X,MATCH($C27,'Com Measure Mapping'!B:B,0))="N/A",X27,INDEX('Com Measure Mapping'!X:X,MATCH($C27,'Com Measure Mapping'!B:B,0)))</f>
        <v>17</v>
      </c>
      <c r="Z27" s="120">
        <f>Y27</f>
        <v>17</v>
      </c>
      <c r="AA27" s="120">
        <f>IFERROR(IF($D$2="Original",PV($F$76,X27,-P27),PV($F$76,Z27,-P27)),0)</f>
        <v>67907.432464265745</v>
      </c>
      <c r="AB27" s="126">
        <f>I27*$AB$72</f>
        <v>17072.634464028168</v>
      </c>
      <c r="AC27" s="126">
        <v>450</v>
      </c>
      <c r="AD27" s="131">
        <f>IF(INDEX('Com Measure Mapping'!Y:Y,MATCH($C27,'Com Measure Mapping'!B:B,0))="N/A",AC27,INDEX('Com Measure Mapping'!Y:Y,MATCH($C27,'Com Measure Mapping'!B:B,0)))</f>
        <v>577.51970964340524</v>
      </c>
      <c r="AE27" s="119" t="str">
        <f>INDEX('Com Measure Mapping'!V:V,MATCH($C27,'Com Measure Mapping'!B:B,0))</f>
        <v>1 unit</v>
      </c>
      <c r="AF27" s="126">
        <v>700</v>
      </c>
      <c r="AG27" s="126">
        <f>IFERROR(IF($D$2="Original",H27*AC27,H27*AF27),0)</f>
        <v>5641.1030034293808</v>
      </c>
      <c r="AH27" s="133">
        <f>IF(ISERROR(AG27/AA27),0,AG27/AA27)</f>
        <v>8.3070479897732002E-2</v>
      </c>
      <c r="AI27" s="133">
        <f>IF(AA27=0,0,(AG27+AB27)/AA27)</f>
        <v>0.33448087555673633</v>
      </c>
      <c r="AJ27" s="122">
        <f>IFERROR(IF($D$2="Original",IF($AG27=0,"-",(VLOOKUP($X27,AC,7)*$P27)/($AG27+$AB27)),IF($AG27=0,"-",(VLOOKUP($Z27,AC,7)*$P27)/($AG27+$AB27))),0)</f>
        <v>4.1059238636159936</v>
      </c>
      <c r="AK27" s="76"/>
      <c r="AL27" s="133">
        <f>IF(ISERROR(W27/AA27),0,W27/AA27)</f>
        <v>0.22059482629448104</v>
      </c>
      <c r="AM27" s="133">
        <f>IF(AA27=0,0,(W27+AB27)/AA27)</f>
        <v>0.47200522195348538</v>
      </c>
      <c r="AN27" s="122">
        <f>IFERROR(IF($D$2="Original",IF($W27=0,"-",(VLOOKUP($X27,AC,5)*$P27)/(W27+AB27)),IF($W27=0,"-",(VLOOKUP($Z27,AC,5)*$P27)/(W27+AB27))),0)</f>
        <v>2.6451036498507881</v>
      </c>
    </row>
    <row r="28" spans="1:40" s="3" customFormat="1" ht="26.25" thickBot="1" x14ac:dyDescent="0.25">
      <c r="B28" s="3">
        <v>17</v>
      </c>
      <c r="C28" s="104" t="str">
        <f>E28&amp;"_"&amp;F28&amp;"_"&amp;G28</f>
        <v>Griddle (Grocery)_Energy Star_&gt;=38% Cooking Efficiency,&lt;= 2650 Btu/hr-sq ft Idle Rate</v>
      </c>
      <c r="D28" s="1"/>
      <c r="E28" s="113" t="s">
        <v>141</v>
      </c>
      <c r="F28" s="113" t="s">
        <v>15</v>
      </c>
      <c r="G28" s="113" t="s">
        <v>95</v>
      </c>
      <c r="H28" s="118">
        <f>P28/N28</f>
        <v>8.6751290322580648</v>
      </c>
      <c r="I28" s="177">
        <v>2.5000000000000001E-3</v>
      </c>
      <c r="J28" s="118">
        <v>155</v>
      </c>
      <c r="K28" s="116" t="s">
        <v>96</v>
      </c>
      <c r="L28" s="147">
        <f>IF(INDEX('Com Measure Mapping'!U:U,MATCH($C28,'Com Measure Mapping'!B:B,0))="N/A",J28,INDEX('Com Measure Mapping'!U:U,MATCH($C28,'Com Measure Mapping'!B:B,0)))</f>
        <v>159.86217928151621</v>
      </c>
      <c r="M28" s="147" t="str">
        <f>INDEX('Com Measure Mapping'!V:V,MATCH($C28,'Com Measure Mapping'!B:B,0))</f>
        <v>1 unit</v>
      </c>
      <c r="N28" s="118">
        <f>J28</f>
        <v>155</v>
      </c>
      <c r="O28" s="118">
        <f>H28</f>
        <v>8.6751290322580648</v>
      </c>
      <c r="P28" s="118">
        <f>$P$72*I28</f>
        <v>1344.645</v>
      </c>
      <c r="Q28" s="125">
        <v>1048</v>
      </c>
      <c r="R28" s="145">
        <f>IF(INDEX('Com Measure Mapping'!W:W,MATCH($C28,'Com Measure Mapping'!B:B,0))="N/A",Q28,INDEX('Com Measure Mapping'!W:W,MATCH($C28,'Com Measure Mapping'!B:B,0)))</f>
        <v>391.72</v>
      </c>
      <c r="S28" s="125">
        <f>Q28</f>
        <v>1048</v>
      </c>
      <c r="T28" s="125">
        <f>IFERROR(IF($D$2="Original",O28*Q28,O28*S28),0)</f>
        <v>9091.5352258064522</v>
      </c>
      <c r="U28" s="125">
        <v>0</v>
      </c>
      <c r="V28" s="125">
        <f>IFERROR(IF($D$2="Original",PV($F$76,$X28,(-0.05*0.9*$J28)),PV($F$76,$Z28,(-0.05*0.9*$N28))),0)</f>
        <v>67.800168873417505</v>
      </c>
      <c r="W28" s="125">
        <f>IFERROR(IF($D$2="Original",MAX(0,O28*(Q28-U28-V28)),MAX(0,O28*(S28-U28-V28))),0)</f>
        <v>8503.3600124206678</v>
      </c>
      <c r="X28" s="116">
        <v>12</v>
      </c>
      <c r="Y28" s="146">
        <f>IF(INDEX('Com Measure Mapping'!X:X,MATCH($C28,'Com Measure Mapping'!B:B,0))="N/A",X28,INDEX('Com Measure Mapping'!X:X,MATCH($C28,'Com Measure Mapping'!B:B,0)))</f>
        <v>12</v>
      </c>
      <c r="Z28" s="118">
        <f>Y28</f>
        <v>12</v>
      </c>
      <c r="AA28" s="118">
        <f>IFERROR(IF($D$2="Original",PV($F$76,X28,-P28),PV($F$76,Z28,-P28)),0)</f>
        <v>13070.560297461861</v>
      </c>
      <c r="AB28" s="125">
        <f>I28*$AB$72</f>
        <v>4310.8725000000004</v>
      </c>
      <c r="AC28" s="125">
        <v>500</v>
      </c>
      <c r="AD28" s="145">
        <f>IF(INDEX('Com Measure Mapping'!Y:Y,MATCH($C28,'Com Measure Mapping'!B:B,0))="N/A",AC28,INDEX('Com Measure Mapping'!Y:Y,MATCH($C28,'Com Measure Mapping'!B:B,0)))</f>
        <v>391.72480000000002</v>
      </c>
      <c r="AE28" s="147" t="str">
        <f>INDEX('Com Measure Mapping'!V:V,MATCH($C28,'Com Measure Mapping'!B:B,0))</f>
        <v>1 unit</v>
      </c>
      <c r="AF28" s="125">
        <f>AC28*1.2</f>
        <v>600</v>
      </c>
      <c r="AG28" s="125">
        <f>IFERROR(IF($D$2="Original",H28*AC28,H28*AF28),0)</f>
        <v>5205.0774193548386</v>
      </c>
      <c r="AH28" s="132">
        <f>IF(ISERROR(AG28/AA28),0,AG28/AA28)</f>
        <v>0.39822909660311956</v>
      </c>
      <c r="AI28" s="132">
        <f>IF(AA28=0,0,(AG28+AB28)/AA28)</f>
        <v>0.72804452929249852</v>
      </c>
      <c r="AJ28" s="121">
        <f>IFERROR(IF($D$2="Original",IF($AG28=0,"-",(VLOOKUP($X28,AC,7)*$P28)/($AG28+$AB28)),IF($AG28=0,"-",(VLOOKUP($Z28,AC,7)*$P28)/($AG28+$AB28))),0)</f>
        <v>1.6809985940943173</v>
      </c>
      <c r="AK28" s="76"/>
      <c r="AL28" s="132">
        <f>IF(ISERROR(W28/AA28),0,W28/AA28)</f>
        <v>0.65057348873344878</v>
      </c>
      <c r="AM28" s="132">
        <f>IF(AA28=0,0,(W28+AB28)/AA28)</f>
        <v>0.98038892142282774</v>
      </c>
      <c r="AN28" s="121">
        <f>IFERROR(IF($D$2="Original",IF($W28=0,"-",(VLOOKUP($X28,AC,5)*$P28)/(W28+AB28)),IF($W28=0,"-",(VLOOKUP($Z28,AC,5)*$P28)/(W28+AB28))),0)</f>
        <v>1.1348388967574219</v>
      </c>
    </row>
    <row r="29" spans="1:40" s="3" customFormat="1" ht="26.25" thickBot="1" x14ac:dyDescent="0.25">
      <c r="B29" s="163" t="s">
        <v>401</v>
      </c>
      <c r="C29" s="104" t="str">
        <f>E29&amp;"_"&amp;F29&amp;"_"&amp;G29</f>
        <v>Griddle (Lodging)_Energy Star_&gt;=38% Cooking Efficiency,&lt;= 2650 Btu/hr-sq ft Idle Rate</v>
      </c>
      <c r="D29" s="1"/>
      <c r="E29" s="114" t="s">
        <v>142</v>
      </c>
      <c r="F29" s="114" t="s">
        <v>15</v>
      </c>
      <c r="G29" s="114" t="s">
        <v>95</v>
      </c>
      <c r="H29" s="120">
        <f>P29/N29</f>
        <v>14.61570652173913</v>
      </c>
      <c r="I29" s="178">
        <v>2.5000000000000001E-3</v>
      </c>
      <c r="J29" s="120">
        <v>92</v>
      </c>
      <c r="K29" s="117" t="s">
        <v>96</v>
      </c>
      <c r="L29" s="119">
        <f>IF(INDEX('Com Measure Mapping'!U:U,MATCH($C29,'Com Measure Mapping'!B:B,0))="N/A",J29,INDEX('Com Measure Mapping'!U:U,MATCH($C29,'Com Measure Mapping'!B:B,0)))</f>
        <v>159.86217928151609</v>
      </c>
      <c r="M29" s="119" t="str">
        <f>INDEX('Com Measure Mapping'!V:V,MATCH($C29,'Com Measure Mapping'!B:B,0))</f>
        <v>1 unit</v>
      </c>
      <c r="N29" s="120">
        <f>J29</f>
        <v>92</v>
      </c>
      <c r="O29" s="120">
        <f>H29</f>
        <v>14.61570652173913</v>
      </c>
      <c r="P29" s="120">
        <f>$P$72*I29</f>
        <v>1344.645</v>
      </c>
      <c r="Q29" s="126">
        <v>1048</v>
      </c>
      <c r="R29" s="131">
        <f>IF(INDEX('Com Measure Mapping'!W:W,MATCH($C29,'Com Measure Mapping'!B:B,0))="N/A",Q29,INDEX('Com Measure Mapping'!W:W,MATCH($C29,'Com Measure Mapping'!B:B,0)))</f>
        <v>391.72</v>
      </c>
      <c r="S29" s="126">
        <f>Q29</f>
        <v>1048</v>
      </c>
      <c r="T29" s="126">
        <f>IFERROR(IF($D$2="Original",O29*Q29,O29*S29),0)</f>
        <v>15317.260434782607</v>
      </c>
      <c r="U29" s="126">
        <v>0</v>
      </c>
      <c r="V29" s="126">
        <f>IFERROR(IF($D$2="Original",PV($F$76,$X29,(-0.05*0.9*$J29)),PV($F$76,$Z29,(-0.05*0.9*$N29))),0)</f>
        <v>40.24268087970588</v>
      </c>
      <c r="W29" s="126">
        <f>IFERROR(IF($D$2="Original",MAX(0,O29*(Q29-U29-V29)),MAX(0,O29*(S29-U29-V29))),0)</f>
        <v>14729.085221396825</v>
      </c>
      <c r="X29" s="117">
        <v>12</v>
      </c>
      <c r="Y29" s="128">
        <f>IF(INDEX('Com Measure Mapping'!X:X,MATCH($C29,'Com Measure Mapping'!B:B,0))="N/A",X29,INDEX('Com Measure Mapping'!X:X,MATCH($C29,'Com Measure Mapping'!B:B,0)))</f>
        <v>12</v>
      </c>
      <c r="Z29" s="120">
        <f>Y29</f>
        <v>12</v>
      </c>
      <c r="AA29" s="120">
        <f>IFERROR(IF($D$2="Original",PV($F$76,X29,-P29),PV($F$76,Z29,-P29)),0)</f>
        <v>13070.560297461861</v>
      </c>
      <c r="AB29" s="126">
        <f>I29*$AB$72</f>
        <v>4310.8725000000004</v>
      </c>
      <c r="AC29" s="126">
        <v>500</v>
      </c>
      <c r="AD29" s="131">
        <f>IF(INDEX('Com Measure Mapping'!Y:Y,MATCH($C29,'Com Measure Mapping'!B:B,0))="N/A",AC29,INDEX('Com Measure Mapping'!Y:Y,MATCH($C29,'Com Measure Mapping'!B:B,0)))</f>
        <v>391.72480000000002</v>
      </c>
      <c r="AE29" s="119" t="str">
        <f>INDEX('Com Measure Mapping'!V:V,MATCH($C29,'Com Measure Mapping'!B:B,0))</f>
        <v>1 unit</v>
      </c>
      <c r="AF29" s="126">
        <f>AC29*1.2</f>
        <v>600</v>
      </c>
      <c r="AG29" s="126">
        <f>IFERROR(IF($D$2="Original",H29*AC29,H29*AF29),0)</f>
        <v>8769.423913043478</v>
      </c>
      <c r="AH29" s="133">
        <f>IF(ISERROR(AG29/AA29),0,AG29/AA29)</f>
        <v>0.67092945623351663</v>
      </c>
      <c r="AI29" s="133">
        <f>IF(AA29=0,0,(AG29+AB29)/AA29)</f>
        <v>1.0007448889228954</v>
      </c>
      <c r="AJ29" s="122">
        <f>IFERROR(IF($D$2="Original",IF($AG29=0,"-",(VLOOKUP($X29,AC,7)*$P29)/($AG29+$AB29)),IF($AG29=0,"-",(VLOOKUP($Z29,AC,7)*$P29)/($AG29+$AB29))),0)</f>
        <v>1.2229308825108998</v>
      </c>
      <c r="AK29" s="76"/>
      <c r="AL29" s="133">
        <f>IF(ISERROR(W29/AA29),0,W29/AA29)</f>
        <v>1.1268901168878758</v>
      </c>
      <c r="AM29" s="133">
        <f>IF(AA29=0,0,(W29+AB29)/AA29)</f>
        <v>1.4567055495772547</v>
      </c>
      <c r="AN29" s="122">
        <f>IFERROR(IF($D$2="Original",IF($W29=0,"-",(VLOOKUP($X29,AC,5)*$P29)/(W29+AB29)),IF($W29=0,"-",(VLOOKUP($Z29,AC,5)*$P29)/(W29+AB29))),0)</f>
        <v>0.76376690011482384</v>
      </c>
    </row>
    <row r="30" spans="1:40" s="3" customFormat="1" ht="26.25" thickBot="1" x14ac:dyDescent="0.25">
      <c r="B30" s="163" t="s">
        <v>402</v>
      </c>
      <c r="C30" s="104" t="str">
        <f>E30&amp;"_"&amp;F30&amp;"_"&amp;G30</f>
        <v>Griddle (Restaurant)_Energy Star_&gt;=38% Cooking Efficiency,&lt;= 2650 Btu/hr-sq ft Idle Rate</v>
      </c>
      <c r="D30" s="1"/>
      <c r="E30" s="113" t="s">
        <v>94</v>
      </c>
      <c r="F30" s="113" t="s">
        <v>15</v>
      </c>
      <c r="G30" s="113" t="s">
        <v>95</v>
      </c>
      <c r="H30" s="118">
        <f>P30/N30</f>
        <v>22.163509337129369</v>
      </c>
      <c r="I30" s="177">
        <v>1.1249508325685066E-2</v>
      </c>
      <c r="J30" s="118">
        <v>273</v>
      </c>
      <c r="K30" s="116" t="s">
        <v>96</v>
      </c>
      <c r="L30" s="147">
        <f>IF(INDEX('Com Measure Mapping'!U:U,MATCH($C30,'Com Measure Mapping'!B:B,0))="N/A",J30,INDEX('Com Measure Mapping'!U:U,MATCH($C30,'Com Measure Mapping'!B:B,0)))</f>
        <v>159.86217928151615</v>
      </c>
      <c r="M30" s="147" t="str">
        <f>INDEX('Com Measure Mapping'!V:V,MATCH($C30,'Com Measure Mapping'!B:B,0))</f>
        <v>1 unit</v>
      </c>
      <c r="N30" s="118">
        <f>J30</f>
        <v>273</v>
      </c>
      <c r="O30" s="118">
        <f>H30</f>
        <v>22.163509337129369</v>
      </c>
      <c r="P30" s="118">
        <f>$P$72*I30</f>
        <v>6050.6380490363181</v>
      </c>
      <c r="Q30" s="125">
        <v>1048</v>
      </c>
      <c r="R30" s="145">
        <f>IF(INDEX('Com Measure Mapping'!W:W,MATCH($C30,'Com Measure Mapping'!B:B,0))="N/A",Q30,INDEX('Com Measure Mapping'!W:W,MATCH($C30,'Com Measure Mapping'!B:B,0)))</f>
        <v>391.72</v>
      </c>
      <c r="S30" s="125">
        <f>Q30</f>
        <v>1048</v>
      </c>
      <c r="T30" s="125">
        <f>IFERROR(IF($D$2="Original",O30*Q30,O30*S30),0)</f>
        <v>23227.357785311578</v>
      </c>
      <c r="U30" s="125">
        <v>0</v>
      </c>
      <c r="V30" s="125">
        <f>IFERROR(IF($D$2="Original",PV($F$76,$X30,(-0.05*0.9*$J30)),PV($F$76,$Z30,(-0.05*0.9*$N30))),0)</f>
        <v>119.41578130608376</v>
      </c>
      <c r="W30" s="125">
        <f>IFERROR(IF($D$2="Original",MAX(0,O30*(Q30-U30-V30)),MAX(0,O30*(S30-U30-V30))),0)</f>
        <v>20580.685001333593</v>
      </c>
      <c r="X30" s="116">
        <v>12</v>
      </c>
      <c r="Y30" s="146">
        <f>IF(INDEX('Com Measure Mapping'!X:X,MATCH($C30,'Com Measure Mapping'!B:B,0))="N/A",X30,INDEX('Com Measure Mapping'!X:X,MATCH($C30,'Com Measure Mapping'!B:B,0)))</f>
        <v>12</v>
      </c>
      <c r="Z30" s="118">
        <f>Y30</f>
        <v>12</v>
      </c>
      <c r="AA30" s="118">
        <f>IFERROR(IF($D$2="Original",PV($F$76,X30,-P30),PV($F$76,Z30,-P30)),0)</f>
        <v>58814.950755066355</v>
      </c>
      <c r="AB30" s="125">
        <f>I30*$AB$72</f>
        <v>19398.078431886719</v>
      </c>
      <c r="AC30" s="125">
        <v>500</v>
      </c>
      <c r="AD30" s="145">
        <f>IF(INDEX('Com Measure Mapping'!Y:Y,MATCH($C30,'Com Measure Mapping'!B:B,0))="N/A",AC30,INDEX('Com Measure Mapping'!Y:Y,MATCH($C30,'Com Measure Mapping'!B:B,0)))</f>
        <v>391.72480000000002</v>
      </c>
      <c r="AE30" s="147" t="str">
        <f>INDEX('Com Measure Mapping'!V:V,MATCH($C30,'Com Measure Mapping'!B:B,0))</f>
        <v>1 unit</v>
      </c>
      <c r="AF30" s="125">
        <f>AC30*1.2</f>
        <v>600</v>
      </c>
      <c r="AG30" s="125">
        <f>IFERROR(IF($D$2="Original",H30*AC30,H30*AF30),0)</f>
        <v>13298.105602277621</v>
      </c>
      <c r="AH30" s="132">
        <f>IF(ISERROR(AG30/AA30),0,AG30/AA30)</f>
        <v>0.22610076913363927</v>
      </c>
      <c r="AI30" s="132">
        <f>IF(AA30=0,0,(AG30+AB30)/AA30)</f>
        <v>0.55591620182301815</v>
      </c>
      <c r="AJ30" s="121">
        <f>IFERROR(IF($D$2="Original",IF($AG30=0,"-",(VLOOKUP($X30,AC,7)*$P30)/($AG30+$AB30)),IF($AG30=0,"-",(VLOOKUP($Z30,AC,7)*$P30)/($AG30+$AB30))),0)</f>
        <v>2.2014861703353845</v>
      </c>
      <c r="AK30" s="76"/>
      <c r="AL30" s="132">
        <f>IF(ISERROR(W30/AA30),0,W30/AA30)</f>
        <v>0.34992267675342331</v>
      </c>
      <c r="AM30" s="132">
        <f>IF(AA30=0,0,(W30+AB30)/AA30)</f>
        <v>0.67973810944280222</v>
      </c>
      <c r="AN30" s="121">
        <f>IFERROR(IF($D$2="Original",IF($W30=0,"-",(VLOOKUP($X30,AC,5)*$P30)/(W30+AB30)),IF($W30=0,"-",(VLOOKUP($Z30,AC,5)*$P30)/(W30+AB30))),0)</f>
        <v>1.6367825586426108</v>
      </c>
    </row>
    <row r="31" spans="1:40" s="3" customFormat="1" ht="26.25" thickBot="1" x14ac:dyDescent="0.25">
      <c r="B31" s="163" t="s">
        <v>403</v>
      </c>
      <c r="C31" s="104" t="str">
        <f>E31&amp;"_"&amp;F31&amp;"_"&amp;G31</f>
        <v>Griddle (School)_Energy Star_&gt;=38% Cooking Efficiency,&lt;= 2650 Btu/hr-sq ft Idle Rate</v>
      </c>
      <c r="D31" s="1"/>
      <c r="E31" s="114" t="s">
        <v>143</v>
      </c>
      <c r="F31" s="114" t="s">
        <v>15</v>
      </c>
      <c r="G31" s="114" t="s">
        <v>95</v>
      </c>
      <c r="H31" s="120">
        <f>P31/N31</f>
        <v>22.790593220338984</v>
      </c>
      <c r="I31" s="178">
        <v>2.5000000000000001E-3</v>
      </c>
      <c r="J31" s="120">
        <v>59</v>
      </c>
      <c r="K31" s="117" t="s">
        <v>96</v>
      </c>
      <c r="L31" s="119">
        <f>IF(INDEX('Com Measure Mapping'!U:U,MATCH($C31,'Com Measure Mapping'!B:B,0))="N/A",J31,INDEX('Com Measure Mapping'!U:U,MATCH($C31,'Com Measure Mapping'!B:B,0)))</f>
        <v>159.86217928151612</v>
      </c>
      <c r="M31" s="119" t="str">
        <f>INDEX('Com Measure Mapping'!V:V,MATCH($C31,'Com Measure Mapping'!B:B,0))</f>
        <v>1 unit</v>
      </c>
      <c r="N31" s="120">
        <f>J31</f>
        <v>59</v>
      </c>
      <c r="O31" s="120">
        <f>H31</f>
        <v>22.790593220338984</v>
      </c>
      <c r="P31" s="120">
        <f>$P$72*I31</f>
        <v>1344.645</v>
      </c>
      <c r="Q31" s="126">
        <v>1048</v>
      </c>
      <c r="R31" s="131">
        <f>IF(INDEX('Com Measure Mapping'!W:W,MATCH($C31,'Com Measure Mapping'!B:B,0))="N/A",Q31,INDEX('Com Measure Mapping'!W:W,MATCH($C31,'Com Measure Mapping'!B:B,0)))</f>
        <v>391.72</v>
      </c>
      <c r="S31" s="126">
        <f>Q31</f>
        <v>1048</v>
      </c>
      <c r="T31" s="126">
        <f>IFERROR(IF($D$2="Original",O31*Q31,O31*S31),0)</f>
        <v>23884.541694915257</v>
      </c>
      <c r="U31" s="126">
        <v>0</v>
      </c>
      <c r="V31" s="126">
        <f>IFERROR(IF($D$2="Original",PV($F$76,$X31,(-0.05*0.9*$J31)),PV($F$76,$Z31,(-0.05*0.9*$N31))),0)</f>
        <v>25.80780621633312</v>
      </c>
      <c r="W31" s="126">
        <f>IFERROR(IF($D$2="Original",MAX(0,O31*(Q31-U31-V31)),MAX(0,O31*(S31-U31-V31))),0)</f>
        <v>23296.366481529472</v>
      </c>
      <c r="X31" s="117">
        <v>12</v>
      </c>
      <c r="Y31" s="128">
        <f>IF(INDEX('Com Measure Mapping'!X:X,MATCH($C31,'Com Measure Mapping'!B:B,0))="N/A",X31,INDEX('Com Measure Mapping'!X:X,MATCH($C31,'Com Measure Mapping'!B:B,0)))</f>
        <v>12</v>
      </c>
      <c r="Z31" s="120">
        <f>Y31</f>
        <v>12</v>
      </c>
      <c r="AA31" s="120">
        <f>IFERROR(IF($D$2="Original",PV($F$76,X31,-P31),PV($F$76,Z31,-P31)),0)</f>
        <v>13070.560297461861</v>
      </c>
      <c r="AB31" s="126">
        <f>I31*$AB$72</f>
        <v>4310.8725000000004</v>
      </c>
      <c r="AC31" s="126">
        <v>500</v>
      </c>
      <c r="AD31" s="131">
        <f>IF(INDEX('Com Measure Mapping'!Y:Y,MATCH($C31,'Com Measure Mapping'!B:B,0))="N/A",AC31,INDEX('Com Measure Mapping'!Y:Y,MATCH($C31,'Com Measure Mapping'!B:B,0)))</f>
        <v>391.72480000000002</v>
      </c>
      <c r="AE31" s="119" t="str">
        <f>INDEX('Com Measure Mapping'!V:V,MATCH($C31,'Com Measure Mapping'!B:B,0))</f>
        <v>1 unit</v>
      </c>
      <c r="AF31" s="126">
        <f>AC31*1.2</f>
        <v>600</v>
      </c>
      <c r="AG31" s="126">
        <f>IFERROR(IF($D$2="Original",H31*AC31,H31*AF31),0)</f>
        <v>13674.355932203391</v>
      </c>
      <c r="AH31" s="133">
        <f>IF(ISERROR(AG31/AA31),0,AG31/AA31)</f>
        <v>1.046195084296331</v>
      </c>
      <c r="AI31" s="133">
        <f>IF(AA31=0,0,(AG31+AB31)/AA31)</f>
        <v>1.37601051698571</v>
      </c>
      <c r="AJ31" s="122">
        <f>IFERROR(IF($D$2="Original",IF($AG31=0,"-",(VLOOKUP($X31,AC,7)*$P31)/($AG31+$AB31)),IF($AG31=0,"-",(VLOOKUP($Z31,AC,7)*$P31)/($AG31+$AB31))),0)</f>
        <v>0.88941313679760092</v>
      </c>
      <c r="AK31" s="76"/>
      <c r="AL31" s="133">
        <f>IF(ISERROR(W31/AA31),0,W31/AA31)</f>
        <v>1.782354080570925</v>
      </c>
      <c r="AM31" s="133">
        <f>IF(AA31=0,0,(W31+AB31)/AA31)</f>
        <v>2.1121695132603038</v>
      </c>
      <c r="AN31" s="122">
        <f>IFERROR(IF($D$2="Original",IF($W31=0,"-",(VLOOKUP($X31,AC,5)*$P31)/(W31+AB31)),IF($W31=0,"-",(VLOOKUP($Z31,AC,5)*$P31)/(W31+AB31))),0)</f>
        <v>0.52674914347348867</v>
      </c>
    </row>
    <row r="32" spans="1:40" s="3" customFormat="1" ht="13.5" thickBot="1" x14ac:dyDescent="0.25">
      <c r="B32" s="3">
        <v>18</v>
      </c>
      <c r="C32" s="104" t="str">
        <f>E32&amp;"_"&amp;F32&amp;"_"&amp;G32</f>
        <v>HVAC Unit Heater - Condensing_High Efficiency Condensing_Minimum 92% AFUE</v>
      </c>
      <c r="D32" s="1"/>
      <c r="E32" s="113" t="s">
        <v>144</v>
      </c>
      <c r="F32" s="113" t="s">
        <v>155</v>
      </c>
      <c r="G32" s="113" t="s">
        <v>19</v>
      </c>
      <c r="H32" s="118">
        <f>P32/N32</f>
        <v>3033.1250563926733</v>
      </c>
      <c r="I32" s="177">
        <v>5.0000000000000001E-3</v>
      </c>
      <c r="J32" s="118">
        <v>1.1000000000000001</v>
      </c>
      <c r="K32" s="116" t="s">
        <v>102</v>
      </c>
      <c r="L32" s="147">
        <f>IF(INDEX('Com Measure Mapping'!U:U,MATCH($C32,'Com Measure Mapping'!B:B,0))="N/A",J32,INDEX('Com Measure Mapping'!U:U,MATCH($C32,'Com Measure Mapping'!B:B,0)))</f>
        <v>0.88663999999999998</v>
      </c>
      <c r="M32" s="147" t="str">
        <f>INDEX('Com Measure Mapping'!V:V,MATCH($C32,'Com Measure Mapping'!B:B,0))</f>
        <v>kBtu/hr</v>
      </c>
      <c r="N32" s="118">
        <f>L32</f>
        <v>0.88663999999999998</v>
      </c>
      <c r="O32" s="118">
        <f>H32</f>
        <v>3033.1250563926733</v>
      </c>
      <c r="P32" s="118">
        <f>$P$72*I32</f>
        <v>2689.29</v>
      </c>
      <c r="Q32" s="125">
        <v>5.23</v>
      </c>
      <c r="R32" s="145">
        <f>IF(INDEX('Com Measure Mapping'!W:W,MATCH($C32,'Com Measure Mapping'!B:B,0))="N/A",Q32,INDEX('Com Measure Mapping'!W:W,MATCH($C32,'Com Measure Mapping'!B:B,0)))</f>
        <v>16.739519999999999</v>
      </c>
      <c r="S32" s="125">
        <f>R32</f>
        <v>16.739519999999999</v>
      </c>
      <c r="T32" s="125">
        <f>IFERROR(IF($D$2="Original",O32*Q32,O32*S32),0)</f>
        <v>50773.057543986281</v>
      </c>
      <c r="U32" s="125">
        <v>0</v>
      </c>
      <c r="V32" s="125">
        <f>IFERROR(IF($D$2="Original",PV($F$76,$X32,(-0.05*0.9*$J32)),PV($F$76,$Z32,(-0.05*0.9*$N32))),0)</f>
        <v>0.46281617637012201</v>
      </c>
      <c r="W32" s="125">
        <f>IFERROR(IF($D$2="Original",MAX(0,O32*(Q32-U32-V32)),MAX(0,O32*(S32-U32-V32))),0)</f>
        <v>49369.278202934212</v>
      </c>
      <c r="X32" s="116">
        <v>18</v>
      </c>
      <c r="Y32" s="146">
        <f>IF(INDEX('Com Measure Mapping'!X:X,MATCH($C32,'Com Measure Mapping'!B:B,0))="N/A",X32,INDEX('Com Measure Mapping'!X:X,MATCH($C32,'Com Measure Mapping'!B:B,0)))</f>
        <v>15</v>
      </c>
      <c r="Z32" s="118">
        <f>Y32</f>
        <v>15</v>
      </c>
      <c r="AA32" s="118">
        <f>IFERROR(IF($D$2="Original",PV($F$76,X32,-P32),PV($F$76,Z32,-P32)),0)</f>
        <v>31195.096467823725</v>
      </c>
      <c r="AB32" s="125">
        <f>I32*$AB$72</f>
        <v>8621.7450000000008</v>
      </c>
      <c r="AC32" s="125">
        <v>5</v>
      </c>
      <c r="AD32" s="145">
        <f>IF(INDEX('Com Measure Mapping'!Y:Y,MATCH($C32,'Com Measure Mapping'!B:B,0))="N/A",AC32,INDEX('Com Measure Mapping'!Y:Y,MATCH($C32,'Com Measure Mapping'!B:B,0)))</f>
        <v>1.6261126258630161</v>
      </c>
      <c r="AE32" s="147" t="str">
        <f>INDEX('Com Measure Mapping'!V:V,MATCH($C32,'Com Measure Mapping'!B:B,0))</f>
        <v>kBtu/hr</v>
      </c>
      <c r="AF32" s="125">
        <f>AC32</f>
        <v>5</v>
      </c>
      <c r="AG32" s="125">
        <f>IFERROR(IF($D$2="Original",H32*AC32,H32*AF32),0)</f>
        <v>15165.625281963366</v>
      </c>
      <c r="AH32" s="132">
        <f>IF(ISERROR(AG32/AA32),0,AG32/AA32)</f>
        <v>0.48615413956504339</v>
      </c>
      <c r="AI32" s="132">
        <f>IF(AA32=0,0,(AG32+AB32)/AA32)</f>
        <v>0.76253555767967962</v>
      </c>
      <c r="AJ32" s="121">
        <f>IFERROR(IF($D$2="Original",IF($AG32=0,"-",(VLOOKUP($X32,AC,7)*$P32)/($AG32+$AB32)),IF($AG32=0,"-",(VLOOKUP($Z32,AC,7)*$P32)/($AG32+$AB32))),0)</f>
        <v>1.7200172825912177</v>
      </c>
      <c r="AK32" s="76"/>
      <c r="AL32" s="132">
        <f>IF(ISERROR(W32/AA32),0,W32/AA32)</f>
        <v>1.5825973884663669</v>
      </c>
      <c r="AM32" s="132">
        <f>IF(AA32=0,0,(W32+AB32)/AA32)</f>
        <v>1.8589788065810031</v>
      </c>
      <c r="AN32" s="121">
        <f>IFERROR(IF($D$2="Original",IF($W32=0,"-",(VLOOKUP($X32,AC,5)*$P32)/(W32+AB32)),IF($W32=0,"-",(VLOOKUP($Z32,AC,5)*$P32)/(W32+AB32))),0)</f>
        <v>0.6413953203066769</v>
      </c>
    </row>
    <row r="33" spans="2:40" s="3" customFormat="1" ht="26.25" thickBot="1" x14ac:dyDescent="0.25">
      <c r="C33" s="104" t="str">
        <f>E33&amp;"_"&amp;F33&amp;"_"&amp;G33</f>
        <v>HVAC Unit Heater - Non-Condensing_High-Efficiency-Non-Condensing Unit Heater with Electronic Ignition_Minimum 86% AFUE</v>
      </c>
      <c r="D33" s="1"/>
      <c r="E33" s="114" t="s">
        <v>145</v>
      </c>
      <c r="F33" s="114" t="s">
        <v>156</v>
      </c>
      <c r="G33" s="114" t="s">
        <v>18</v>
      </c>
      <c r="H33" s="120">
        <f>P33/N33</f>
        <v>0</v>
      </c>
      <c r="I33" s="178">
        <v>0</v>
      </c>
      <c r="J33" s="120">
        <v>0.61</v>
      </c>
      <c r="K33" s="117" t="s">
        <v>102</v>
      </c>
      <c r="L33" s="119" t="s">
        <v>250</v>
      </c>
      <c r="M33" s="119" t="str">
        <f>INDEX('Com Measure Mapping'!V:V,MATCH($C33,'Com Measure Mapping'!B:B,0))</f>
        <v>N/A</v>
      </c>
      <c r="N33" s="120">
        <f>J33</f>
        <v>0.61</v>
      </c>
      <c r="O33" s="120">
        <f>H33</f>
        <v>0</v>
      </c>
      <c r="P33" s="120">
        <f>$P$72*I33</f>
        <v>0</v>
      </c>
      <c r="Q33" s="126">
        <v>3.26</v>
      </c>
      <c r="R33" s="131" t="s">
        <v>250</v>
      </c>
      <c r="S33" s="126">
        <f>Q33</f>
        <v>3.26</v>
      </c>
      <c r="T33" s="126">
        <f>IFERROR(IF($D$2="Original",O33*Q33,O33*S33),0)</f>
        <v>0</v>
      </c>
      <c r="U33" s="126">
        <v>0</v>
      </c>
      <c r="V33" s="126">
        <f>IFERROR(IF($D$2="Original",PV($F$76,$X33,(-0.05*0.9*$J33)),PV($F$76,$Z33,(-0.05*0.9*$N33))),0)</f>
        <v>0.36507657356515927</v>
      </c>
      <c r="W33" s="126">
        <f>IFERROR(IF($D$2="Original",MAX(0,O33*(Q33-U33-V33)),MAX(0,O33*(S33-U33-V33))),0)</f>
        <v>0</v>
      </c>
      <c r="X33" s="117">
        <v>18</v>
      </c>
      <c r="Y33" s="128" t="s">
        <v>250</v>
      </c>
      <c r="Z33" s="120">
        <f>X33</f>
        <v>18</v>
      </c>
      <c r="AA33" s="120">
        <f>IFERROR(IF($D$2="Original",PV($F$76,X33,-P33),PV($F$76,Z33,-P33)),0)</f>
        <v>0</v>
      </c>
      <c r="AB33" s="126">
        <f>I33*$AB$72</f>
        <v>0</v>
      </c>
      <c r="AC33" s="126">
        <v>1.5</v>
      </c>
      <c r="AD33" s="131" t="s">
        <v>250</v>
      </c>
      <c r="AE33" s="119" t="str">
        <f>INDEX('Com Measure Mapping'!V:V,MATCH($C33,'Com Measure Mapping'!B:B,0))</f>
        <v>N/A</v>
      </c>
      <c r="AF33" s="126">
        <f>AC33</f>
        <v>1.5</v>
      </c>
      <c r="AG33" s="126">
        <f>IFERROR(IF($D$2="Original",H33*AC33,H33*AF33),0)</f>
        <v>0</v>
      </c>
      <c r="AH33" s="133">
        <f>IF(ISERROR(AG33/AA33),0,AG33/AA33)</f>
        <v>0</v>
      </c>
      <c r="AI33" s="133">
        <f>IF(AA33=0,0,(AG33+AB33)/AA33)</f>
        <v>0</v>
      </c>
      <c r="AJ33" s="122" t="str">
        <f>IFERROR(IF($D$2="Original",IF($AG33=0,"-",(VLOOKUP($X33,AC,7)*$P33)/($AG33+$AB33)),IF($AG33=0,"-",(VLOOKUP($Z33,AC,7)*$P33)/($AG33+$AB33))),0)</f>
        <v>-</v>
      </c>
      <c r="AK33" s="76"/>
      <c r="AL33" s="133">
        <f>IF(ISERROR(W33/AA33),0,W33/AA33)</f>
        <v>0</v>
      </c>
      <c r="AM33" s="133">
        <f>IF(AA33=0,0,(W33+AB33)/AA33)</f>
        <v>0</v>
      </c>
      <c r="AN33" s="122" t="str">
        <f>IFERROR(IF($D$2="Original",IF($W33=0,"-",(VLOOKUP($X33,AC,5)*$P33)/(W33+AB33)),IF($W33=0,"-",(VLOOKUP($Z33,AC,5)*$P33)/(W33+AB33))),0)</f>
        <v>-</v>
      </c>
    </row>
    <row r="34" spans="2:40" s="3" customFormat="1" ht="13.5" thickBot="1" x14ac:dyDescent="0.25">
      <c r="B34" s="3">
        <v>19</v>
      </c>
      <c r="C34" s="104" t="str">
        <f>E34&amp;"_"&amp;F34&amp;"_"&amp;G34</f>
        <v>Insulation - Attic - Tier 1 - Min R-30_Attic Insulation_Tier 1 /  Minimum R-30</v>
      </c>
      <c r="D34" s="1"/>
      <c r="E34" s="113" t="s">
        <v>116</v>
      </c>
      <c r="F34" s="113" t="s">
        <v>58</v>
      </c>
      <c r="G34" s="113" t="s">
        <v>117</v>
      </c>
      <c r="H34" s="118">
        <f>P34/N34</f>
        <v>224500.53372683149</v>
      </c>
      <c r="I34" s="177">
        <v>0.1293931957046614</v>
      </c>
      <c r="J34" s="118">
        <v>0.31</v>
      </c>
      <c r="K34" s="116" t="s">
        <v>118</v>
      </c>
      <c r="L34" s="147">
        <f>IF(INDEX('Com Measure Mapping'!U:U,MATCH($C34,'Com Measure Mapping'!B:B,0))="N/A",J34,INDEX('Com Measure Mapping'!U:U,MATCH($C34,'Com Measure Mapping'!B:B,0)))</f>
        <v>5.7284653510754076E-2</v>
      </c>
      <c r="M34" s="147" t="str">
        <f>INDEX('Com Measure Mapping'!V:V,MATCH($C34,'Com Measure Mapping'!B:B,0))</f>
        <v>sqft roof</v>
      </c>
      <c r="N34" s="118">
        <f>J34</f>
        <v>0.31</v>
      </c>
      <c r="O34" s="118">
        <f>H34</f>
        <v>224500.53372683149</v>
      </c>
      <c r="P34" s="118">
        <f>$P$72*I34</f>
        <v>69595.165455317765</v>
      </c>
      <c r="Q34" s="125">
        <v>1.35</v>
      </c>
      <c r="R34" s="145">
        <f>IF(INDEX('Com Measure Mapping'!W:W,MATCH($C34,'Com Measure Mapping'!B:B,0))="N/A",Q34,INDEX('Com Measure Mapping'!W:W,MATCH($C34,'Com Measure Mapping'!B:B,0)))</f>
        <v>0.67959183673469392</v>
      </c>
      <c r="S34" s="125">
        <f>Q34</f>
        <v>1.35</v>
      </c>
      <c r="T34" s="125">
        <f>IFERROR(IF($D$2="Original",O34*Q34,O34*S34),0)</f>
        <v>303075.72053122253</v>
      </c>
      <c r="U34" s="125">
        <v>0</v>
      </c>
      <c r="V34" s="125">
        <f>IFERROR(IF($D$2="Original",PV($F$76,$X34,(-0.05*0.9*$J34)),PV($F$76,$Z34,(-0.05*0.9*$N34))),0)</f>
        <v>0.25981399800736749</v>
      </c>
      <c r="W34" s="125">
        <f>IFERROR(IF($D$2="Original",MAX(0,O34*(Q34-U34-V34)),MAX(0,O34*(S34-U34-V34))),0)</f>
        <v>244747.33930886659</v>
      </c>
      <c r="X34" s="116">
        <v>30</v>
      </c>
      <c r="Y34" s="146">
        <f>IF(INDEX('Com Measure Mapping'!X:X,MATCH($C34,'Com Measure Mapping'!B:B,0))="N/A",X34,INDEX('Com Measure Mapping'!X:X,MATCH($C34,'Com Measure Mapping'!B:B,0)))</f>
        <v>45</v>
      </c>
      <c r="Z34" s="118">
        <f>X34</f>
        <v>30</v>
      </c>
      <c r="AA34" s="118">
        <f>IFERROR(IF($D$2="Original",PV($F$76,X34,-P34),PV($F$76,Z34,-P34)),0)</f>
        <v>1296186.2493856873</v>
      </c>
      <c r="AB34" s="125">
        <f>I34*$AB$72</f>
        <v>223119.02762013717</v>
      </c>
      <c r="AC34" s="125">
        <v>2</v>
      </c>
      <c r="AD34" s="145">
        <f>IF(INDEX('Com Measure Mapping'!Y:Y,MATCH($C34,'Com Measure Mapping'!B:B,0))="N/A",AC34,INDEX('Com Measure Mapping'!Y:Y,MATCH($C34,'Com Measure Mapping'!B:B,0)))</f>
        <v>0.55181691777660391</v>
      </c>
      <c r="AE34" s="147" t="str">
        <f>INDEX('Com Measure Mapping'!V:V,MATCH($C34,'Com Measure Mapping'!B:B,0))</f>
        <v>sqft roof</v>
      </c>
      <c r="AF34" s="125">
        <f>AC34</f>
        <v>2</v>
      </c>
      <c r="AG34" s="125">
        <f>IFERROR(IF($D$2="Original",H34*AC34,H34*AF34),0)</f>
        <v>449001.06745366298</v>
      </c>
      <c r="AH34" s="132">
        <f>IF(ISERROR(AG34/AA34),0,AG34/AA34)</f>
        <v>0.34640165922641281</v>
      </c>
      <c r="AI34" s="132">
        <f>IF(AA34=0,0,(AG34+AB34)/AA34)</f>
        <v>0.51853666507598262</v>
      </c>
      <c r="AJ34" s="121">
        <f>IFERROR(IF($D$2="Original",IF($AG34=0,"-",(VLOOKUP($X34,AC,7)*$P34)/($AG34+$AB34)),IF($AG34=0,"-",(VLOOKUP($Z34,AC,7)*$P34)/($AG34+$AB34))),0)</f>
        <v>3.6093476546579741</v>
      </c>
      <c r="AK34" s="76"/>
      <c r="AL34" s="132">
        <f>IF(ISERROR(W34/AA34),0,W34/AA34)</f>
        <v>0.18882111997782866</v>
      </c>
      <c r="AM34" s="132">
        <f>IF(AA34=0,0,(W34+AB34)/AA34)</f>
        <v>0.36095612582739839</v>
      </c>
      <c r="AN34" s="121">
        <f>IFERROR(IF($D$2="Original",IF($W34=0,"-",(VLOOKUP($X34,AC,5)*$P34)/(W34+AB34)),IF($W34=0,"-",(VLOOKUP($Z34,AC,5)*$P34)/(W34+AB34))),0)</f>
        <v>4.7136907231291358</v>
      </c>
    </row>
    <row r="35" spans="2:40" s="3" customFormat="1" ht="13.5" thickBot="1" x14ac:dyDescent="0.25">
      <c r="B35" s="163" t="s">
        <v>417</v>
      </c>
      <c r="C35" s="104" t="str">
        <f>E35&amp;"_"&amp;F35&amp;"_"&amp;G35</f>
        <v>Insulation - Attic - Tier 2 - Min R-45_Attic Insulation_Tier 2 /  Minimum R-45</v>
      </c>
      <c r="D35" s="1"/>
      <c r="E35" s="114" t="s">
        <v>130</v>
      </c>
      <c r="F35" s="114" t="s">
        <v>58</v>
      </c>
      <c r="G35" s="114" t="s">
        <v>131</v>
      </c>
      <c r="H35" s="120">
        <f>P35/N35</f>
        <v>217484.89204786802</v>
      </c>
      <c r="I35" s="178">
        <v>0.1293931957046614</v>
      </c>
      <c r="J35" s="120">
        <v>0.32</v>
      </c>
      <c r="K35" s="117" t="s">
        <v>118</v>
      </c>
      <c r="L35" s="119">
        <f>IF(INDEX('Com Measure Mapping'!U:U,MATCH($C35,'Com Measure Mapping'!B:B,0))="N/A",J35,INDEX('Com Measure Mapping'!U:U,MATCH($C35,'Com Measure Mapping'!B:B,0)))</f>
        <v>8.5926980266131103E-2</v>
      </c>
      <c r="M35" s="119" t="str">
        <f>INDEX('Com Measure Mapping'!V:V,MATCH($C35,'Com Measure Mapping'!B:B,0))</f>
        <v>sqft roof</v>
      </c>
      <c r="N35" s="120">
        <f>J35</f>
        <v>0.32</v>
      </c>
      <c r="O35" s="120">
        <f>H35</f>
        <v>217484.89204786802</v>
      </c>
      <c r="P35" s="120">
        <f>$P$72*I35</f>
        <v>69595.165455317765</v>
      </c>
      <c r="Q35" s="126">
        <v>1.63</v>
      </c>
      <c r="R35" s="131">
        <f>IF(INDEX('Com Measure Mapping'!W:W,MATCH($C35,'Com Measure Mapping'!B:B,0))="N/A",Q35,INDEX('Com Measure Mapping'!W:W,MATCH($C35,'Com Measure Mapping'!B:B,0)))</f>
        <v>1.0193877551020409</v>
      </c>
      <c r="S35" s="126">
        <f>Q35</f>
        <v>1.63</v>
      </c>
      <c r="T35" s="126">
        <f>IFERROR(IF($D$2="Original",O35*Q35,O35*S35),0)</f>
        <v>354500.37403802486</v>
      </c>
      <c r="U35" s="126">
        <v>0</v>
      </c>
      <c r="V35" s="126">
        <f>IFERROR(IF($D$2="Original",PV($F$76,$X35,(-0.05*0.9*$J35)),PV($F$76,$Z35,(-0.05*0.9*$N35))),0)</f>
        <v>0.26819509471728253</v>
      </c>
      <c r="W35" s="126">
        <f>IFERROR(IF($D$2="Original",MAX(0,O35*(Q35-U35-V35)),MAX(0,O35*(S35-U35-V35))),0)</f>
        <v>296171.99281566893</v>
      </c>
      <c r="X35" s="117">
        <v>30</v>
      </c>
      <c r="Y35" s="128">
        <f>IF(INDEX('Com Measure Mapping'!X:X,MATCH($C35,'Com Measure Mapping'!B:B,0))="N/A",X35,INDEX('Com Measure Mapping'!X:X,MATCH($C35,'Com Measure Mapping'!B:B,0)))</f>
        <v>45</v>
      </c>
      <c r="Z35" s="120">
        <f>X35</f>
        <v>30</v>
      </c>
      <c r="AA35" s="120">
        <f>IFERROR(IF($D$2="Original",PV($F$76,X35,-P35),PV($F$76,Z35,-P35)),0)</f>
        <v>1296186.2493856873</v>
      </c>
      <c r="AB35" s="126">
        <f>I35*$AB$72</f>
        <v>223119.02762013717</v>
      </c>
      <c r="AC35" s="126">
        <v>2.5</v>
      </c>
      <c r="AD35" s="131">
        <f>IF(INDEX('Com Measure Mapping'!Y:Y,MATCH($C35,'Com Measure Mapping'!B:B,0))="N/A",AC35,INDEX('Com Measure Mapping'!Y:Y,MATCH($C35,'Com Measure Mapping'!B:B,0)))</f>
        <v>0.82772537666490575</v>
      </c>
      <c r="AE35" s="119" t="str">
        <f>INDEX('Com Measure Mapping'!V:V,MATCH($C35,'Com Measure Mapping'!B:B,0))</f>
        <v>sqft roof</v>
      </c>
      <c r="AF35" s="126">
        <f>AC35</f>
        <v>2.5</v>
      </c>
      <c r="AG35" s="126">
        <f>IFERROR(IF($D$2="Original",H35*AC35,H35*AF35),0)</f>
        <v>543712.23011967004</v>
      </c>
      <c r="AH35" s="133">
        <f>IF(ISERROR(AG35/AA35),0,AG35/AA35)</f>
        <v>0.41947075921948429</v>
      </c>
      <c r="AI35" s="133">
        <f>IF(AA35=0,0,(AG35+AB35)/AA35)</f>
        <v>0.59160576506905405</v>
      </c>
      <c r="AJ35" s="122">
        <f>IFERROR(IF($D$2="Original",IF($AG35=0,"-",(VLOOKUP($X35,AC,7)*$P35)/($AG35+$AB35)),IF($AG35=0,"-",(VLOOKUP($Z35,AC,7)*$P35)/($AG35+$AB35))),0)</f>
        <v>3.1635579070594564</v>
      </c>
      <c r="AK35" s="76"/>
      <c r="AL35" s="133">
        <f>IF(ISERROR(W35/AA35),0,W35/AA35)</f>
        <v>0.22849493501110374</v>
      </c>
      <c r="AM35" s="133">
        <f>IF(AA35=0,0,(W35+AB35)/AA35)</f>
        <v>0.40062994086067355</v>
      </c>
      <c r="AN35" s="122">
        <f>IFERROR(IF($D$2="Original",IF($W35=0,"-",(VLOOKUP($X35,AC,5)*$P35)/(W35+AB35)),IF($W35=0,"-",(VLOOKUP($Z35,AC,5)*$P35)/(W35+AB35))),0)</f>
        <v>4.2469006138533878</v>
      </c>
    </row>
    <row r="36" spans="2:40" s="3" customFormat="1" ht="26.25" thickBot="1" x14ac:dyDescent="0.25">
      <c r="B36" s="3">
        <v>13</v>
      </c>
      <c r="C36" s="104" t="str">
        <f>E36&amp;"_"&amp;F36&amp;"_"&amp;G36</f>
        <v>Insulation - Floor_Floor Insulation_Equal to or greater than R-30 Post and equal to or less than R-11 Pre</v>
      </c>
      <c r="D36" s="1"/>
      <c r="E36" s="113" t="s">
        <v>171</v>
      </c>
      <c r="F36" s="113" t="s">
        <v>157</v>
      </c>
      <c r="G36" s="113" t="s">
        <v>158</v>
      </c>
      <c r="H36" s="118">
        <f>P36/N36</f>
        <v>4802.3035714285716</v>
      </c>
      <c r="I36" s="177">
        <v>5.0000000000000001E-4</v>
      </c>
      <c r="J36" s="118">
        <v>5.6000000000000001E-2</v>
      </c>
      <c r="K36" s="116" t="s">
        <v>127</v>
      </c>
      <c r="L36" s="147" t="s">
        <v>250</v>
      </c>
      <c r="M36" s="147" t="str">
        <f>INDEX('Com Measure Mapping'!V:V,MATCH($C36,'Com Measure Mapping'!B:B,0))</f>
        <v>N/A</v>
      </c>
      <c r="N36" s="118">
        <f>J36</f>
        <v>5.6000000000000001E-2</v>
      </c>
      <c r="O36" s="118">
        <f>H36</f>
        <v>4802.3035714285716</v>
      </c>
      <c r="P36" s="118">
        <f>$P$72*I36</f>
        <v>268.92900000000003</v>
      </c>
      <c r="Q36" s="125">
        <v>1.08</v>
      </c>
      <c r="R36" s="145" t="s">
        <v>250</v>
      </c>
      <c r="S36" s="125">
        <f>Q36</f>
        <v>1.08</v>
      </c>
      <c r="T36" s="125">
        <f>IFERROR(IF($D$2="Original",O36*Q36,O36*S36),0)</f>
        <v>5186.487857142858</v>
      </c>
      <c r="U36" s="125">
        <v>0</v>
      </c>
      <c r="V36" s="125">
        <f>IFERROR(IF($D$2="Original",PV($F$76,$X36,(-0.05*0.9*$J36)),PV($F$76,$Z36,(-0.05*0.9*$N36))),0)</f>
        <v>4.6934141575524453E-2</v>
      </c>
      <c r="W36" s="125">
        <f>IFERROR(IF($D$2="Original",MAX(0,O36*(Q36-U36-V36)),MAX(0,O36*(S36-U36-V36))),0)</f>
        <v>4961.0958614327819</v>
      </c>
      <c r="X36" s="116">
        <v>45</v>
      </c>
      <c r="Y36" s="146" t="s">
        <v>250</v>
      </c>
      <c r="Z36" s="118">
        <v>30</v>
      </c>
      <c r="AA36" s="118">
        <f>IFERROR(IF($D$2="Original",PV($F$76,X36,-P36),PV($F$76,Z36,-P36)),0)</f>
        <v>5008.7110157794505</v>
      </c>
      <c r="AB36" s="125">
        <f>I36*$AB$72</f>
        <v>862.17449999999997</v>
      </c>
      <c r="AC36" s="125">
        <v>0.75</v>
      </c>
      <c r="AD36" s="145" t="s">
        <v>250</v>
      </c>
      <c r="AE36" s="147" t="str">
        <f>INDEX('Com Measure Mapping'!V:V,MATCH($C36,'Com Measure Mapping'!B:B,0))</f>
        <v>N/A</v>
      </c>
      <c r="AF36" s="125">
        <v>1.25</v>
      </c>
      <c r="AG36" s="125">
        <f>IFERROR(IF($D$2="Original",H36*AC36,H36*AF36),0)</f>
        <v>6002.8794642857147</v>
      </c>
      <c r="AH36" s="132">
        <f>IF(ISERROR(AG36/AA36),0,AG36/AA36)</f>
        <v>1.1984878834842407</v>
      </c>
      <c r="AI36" s="132">
        <f>IF(AA36=0,0,(AG36+AB36)/AA36)</f>
        <v>1.3706228893338104</v>
      </c>
      <c r="AJ36" s="121">
        <f>IFERROR(IF($D$2="Original",IF($AG36=0,"-",(VLOOKUP($X36,AC,7)*$P36)/($AG36+$AB36)),IF($AG36=0,"-",(VLOOKUP($Z36,AC,7)*$P36)/($AG36+$AB36))),0)</f>
        <v>1.365495287223639</v>
      </c>
      <c r="AK36" s="76"/>
      <c r="AL36" s="132">
        <f>IF(ISERROR(W36/AA36),0,W36/AA36)</f>
        <v>0.99049353133038387</v>
      </c>
      <c r="AM36" s="132">
        <f>IF(AA36=0,0,(W36+AB36)/AA36)</f>
        <v>1.1626285371799536</v>
      </c>
      <c r="AN36" s="121">
        <f>IFERROR(IF($D$2="Original",IF($W36=0,"-",(VLOOKUP($X36,AC,5)*$P36)/(W36+AB36)),IF($W36=0,"-",(VLOOKUP($Z36,AC,5)*$P36)/(W36+AB36))),0)</f>
        <v>1.4634386541863196</v>
      </c>
    </row>
    <row r="37" spans="2:40" s="3" customFormat="1" ht="13.5" thickBot="1" x14ac:dyDescent="0.25">
      <c r="B37" s="3">
        <v>25</v>
      </c>
      <c r="C37" s="104" t="str">
        <f>E37&amp;"_"&amp;F37&amp;"_"&amp;G37</f>
        <v>Insulation - Pipe - 1.5"_1.5" Thick Pipe Insulation _Retrofit for T&gt;140F&lt;=200F</v>
      </c>
      <c r="D37" s="1"/>
      <c r="E37" s="114" t="s">
        <v>146</v>
      </c>
      <c r="F37" s="114" t="s">
        <v>159</v>
      </c>
      <c r="G37" s="114" t="s">
        <v>160</v>
      </c>
      <c r="H37" s="120">
        <f>P37/N37</f>
        <v>4667.5212360122086</v>
      </c>
      <c r="I37" s="178">
        <v>3.9934264273111419E-2</v>
      </c>
      <c r="J37" s="120">
        <v>6</v>
      </c>
      <c r="K37" s="117" t="s">
        <v>167</v>
      </c>
      <c r="L37" s="119">
        <f>IF(INDEX('Com Measure Mapping'!U:U,MATCH($C37,'Com Measure Mapping'!B:B,0))="N/A",J37,INDEX('Com Measure Mapping'!U:U,MATCH($C37,'Com Measure Mapping'!B:B,0)))</f>
        <v>4.6017923491566473</v>
      </c>
      <c r="M37" s="119" t="str">
        <f>INDEX('Com Measure Mapping'!V:V,MATCH($C37,'Com Measure Mapping'!B:B,0))</f>
        <v>boiler pipe</v>
      </c>
      <c r="N37" s="120">
        <f>L37</f>
        <v>4.6017923491566473</v>
      </c>
      <c r="O37" s="120">
        <f>H37</f>
        <v>4667.5212360122086</v>
      </c>
      <c r="P37" s="120">
        <f>$P$72*I37</f>
        <v>21478.963513407161</v>
      </c>
      <c r="Q37" s="126">
        <v>8</v>
      </c>
      <c r="R37" s="131">
        <f>IF(INDEX('Com Measure Mapping'!W:W,MATCH($C37,'Com Measure Mapping'!B:B,0))="N/A",Q37,INDEX('Com Measure Mapping'!W:W,MATCH($C37,'Com Measure Mapping'!B:B,0)))</f>
        <v>10.78</v>
      </c>
      <c r="S37" s="126">
        <f>Q37</f>
        <v>8</v>
      </c>
      <c r="T37" s="126">
        <f>IFERROR(IF($D$2="Original",O37*Q37,O37*S37),0)</f>
        <v>37340.169888097669</v>
      </c>
      <c r="U37" s="126">
        <v>0</v>
      </c>
      <c r="V37" s="126">
        <f>IFERROR(IF($D$2="Original",PV($F$76,$X37,(-0.05*0.9*$J37)),PV($F$76,$Z37,(-0.05*0.9*$N37))),0)</f>
        <v>2.9699231976646661</v>
      </c>
      <c r="W37" s="126">
        <f>IFERROR(IF($D$2="Original",MAX(0,O37*(Q37-U37-V37)),MAX(0,O37*(S37-U37-V37))),0)</f>
        <v>23477.990293672556</v>
      </c>
      <c r="X37" s="117">
        <v>20</v>
      </c>
      <c r="Y37" s="128">
        <f>IF(INDEX('Com Measure Mapping'!X:X,MATCH($C37,'Com Measure Mapping'!B:B,0))="N/A",X37,INDEX('Com Measure Mapping'!X:X,MATCH($C37,'Com Measure Mapping'!B:B,0)))</f>
        <v>20</v>
      </c>
      <c r="Z37" s="120">
        <f>Y37</f>
        <v>20</v>
      </c>
      <c r="AA37" s="120">
        <f>IFERROR(IF($D$2="Original",PV($F$76,X37,-P37),PV($F$76,Z37,-P37)),0)</f>
        <v>308048.43543166918</v>
      </c>
      <c r="AB37" s="126">
        <f>I37*$AB$72</f>
        <v>68860.6086650754</v>
      </c>
      <c r="AC37" s="126">
        <v>15</v>
      </c>
      <c r="AD37" s="131">
        <f>IF(INDEX('Com Measure Mapping'!Y:Y,MATCH($C37,'Com Measure Mapping'!B:B,0))="N/A",AC37,INDEX('Com Measure Mapping'!Y:Y,MATCH($C37,'Com Measure Mapping'!B:B,0)))</f>
        <v>15.275031516363031</v>
      </c>
      <c r="AE37" s="119" t="str">
        <f>INDEX('Com Measure Mapping'!V:V,MATCH($C37,'Com Measure Mapping'!B:B,0))</f>
        <v>boiler pipe</v>
      </c>
      <c r="AF37" s="126">
        <f>AC37</f>
        <v>15</v>
      </c>
      <c r="AG37" s="126">
        <f>IFERROR(IF($D$2="Original",H37*AC37,H37*AF37),0)</f>
        <v>70012.818540183129</v>
      </c>
      <c r="AH37" s="133">
        <f>IF(ISERROR(AG37/AA37),0,AG37/AA37)</f>
        <v>0.22727860455474788</v>
      </c>
      <c r="AI37" s="133">
        <f>IF(AA37=0,0,(AG37+AB37)/AA37)</f>
        <v>0.45081685615658063</v>
      </c>
      <c r="AJ37" s="122">
        <f>IFERROR(IF($D$2="Original",IF($AG37=0,"-",(VLOOKUP($X37,AC,7)*$P37)/($AG37+$AB37)),IF($AG37=0,"-",(VLOOKUP($Z37,AC,7)*$P37)/($AG37+$AB37))),0)</f>
        <v>3.2696411163854942</v>
      </c>
      <c r="AK37" s="76"/>
      <c r="AL37" s="133">
        <f>IF(ISERROR(W37/AA37),0,W37/AA37)</f>
        <v>7.6215255762532214E-2</v>
      </c>
      <c r="AM37" s="133">
        <f>IF(AA37=0,0,(W37+AB37)/AA37)</f>
        <v>0.29975350736436496</v>
      </c>
      <c r="AN37" s="122">
        <f>IFERROR(IF($D$2="Original",IF($W37=0,"-",(VLOOKUP($X37,AC,5)*$P37)/(W37+AB37)),IF($W37=0,"-",(VLOOKUP($Z37,AC,5)*$P37)/(W37+AB37))),0)</f>
        <v>4.470367978524286</v>
      </c>
    </row>
    <row r="38" spans="2:40" s="3" customFormat="1" ht="13.5" thickBot="1" x14ac:dyDescent="0.25">
      <c r="B38" s="163" t="s">
        <v>431</v>
      </c>
      <c r="C38" s="104" t="str">
        <f>E38&amp;"_"&amp;F38&amp;"_"&amp;G38</f>
        <v>Insulation - Pipe - 2.5"_2.5" Thick Pipe Insulation_Retrofit for T&gt;200F</v>
      </c>
      <c r="D38" s="1"/>
      <c r="E38" s="113" t="s">
        <v>147</v>
      </c>
      <c r="F38" s="113" t="s">
        <v>161</v>
      </c>
      <c r="G38" s="113" t="s">
        <v>162</v>
      </c>
      <c r="H38" s="118">
        <f>P38/N38</f>
        <v>29.654146052831024</v>
      </c>
      <c r="I38" s="177">
        <v>6.6160539144899269E-4</v>
      </c>
      <c r="J38" s="118">
        <v>12</v>
      </c>
      <c r="K38" s="116" t="s">
        <v>167</v>
      </c>
      <c r="L38" s="147">
        <f>IF(INDEX('Com Measure Mapping'!U:U,MATCH($C38,'Com Measure Mapping'!B:B,0))="N/A",J38,INDEX('Com Measure Mapping'!U:U,MATCH($C38,'Com Measure Mapping'!B:B,0)))</f>
        <v>346.13835024552628</v>
      </c>
      <c r="M38" s="147" t="str">
        <f>INDEX('Com Measure Mapping'!V:V,MATCH($C38,'Com Measure Mapping'!B:B,0))</f>
        <v>employee</v>
      </c>
      <c r="N38" s="118">
        <f>J38</f>
        <v>12</v>
      </c>
      <c r="O38" s="118">
        <f>H38</f>
        <v>29.654146052831024</v>
      </c>
      <c r="P38" s="118">
        <f>$P$72*I38</f>
        <v>355.84975263397229</v>
      </c>
      <c r="Q38" s="125">
        <v>18</v>
      </c>
      <c r="R38" s="145">
        <f>IF(INDEX('Com Measure Mapping'!W:W,MATCH($C38,'Com Measure Mapping'!B:B,0))="N/A",Q38,INDEX('Com Measure Mapping'!W:W,MATCH($C38,'Com Measure Mapping'!B:B,0)))</f>
        <v>2951.244444444445</v>
      </c>
      <c r="S38" s="125">
        <f>Q38</f>
        <v>18</v>
      </c>
      <c r="T38" s="125">
        <f>IFERROR(IF($D$2="Original",O38*Q38,O38*S38),0)</f>
        <v>533.77462895095846</v>
      </c>
      <c r="U38" s="125">
        <v>0</v>
      </c>
      <c r="V38" s="125">
        <f>IFERROR(IF($D$2="Original",PV($F$76,$X38,(-0.05*0.9*$J38)),PV($F$76,$Z38,(-0.05*0.9*$N38))),0)</f>
        <v>7.7446081152504478</v>
      </c>
      <c r="W38" s="125">
        <f>IFERROR(IF($D$2="Original",MAX(0,O38*(Q38-U38-V38)),MAX(0,O38*(S38-U38-V38))),0)</f>
        <v>304.11488877938126</v>
      </c>
      <c r="X38" s="116">
        <v>20</v>
      </c>
      <c r="Y38" s="146">
        <f>IF(INDEX('Com Measure Mapping'!X:X,MATCH($C38,'Com Measure Mapping'!B:B,0))="N/A",X38,INDEX('Com Measure Mapping'!X:X,MATCH($C38,'Com Measure Mapping'!B:B,0)))</f>
        <v>20</v>
      </c>
      <c r="Z38" s="118">
        <f>Y38</f>
        <v>20</v>
      </c>
      <c r="AA38" s="118">
        <f>IFERROR(IF($D$2="Original",PV($F$76,X38,-P38),PV($F$76,Z38,-P38)),0)</f>
        <v>5103.5497815906037</v>
      </c>
      <c r="AB38" s="125">
        <f>I38*$AB$72</f>
        <v>1140.838595139679</v>
      </c>
      <c r="AC38" s="125">
        <v>25</v>
      </c>
      <c r="AD38" s="145">
        <f>IF(INDEX('Com Measure Mapping'!Y:Y,MATCH($C38,'Com Measure Mapping'!B:B,0))="N/A",AC38,INDEX('Com Measure Mapping'!Y:Y,MATCH($C38,'Com Measure Mapping'!B:B,0)))</f>
        <v>1475.6218611111112</v>
      </c>
      <c r="AE38" s="147" t="str">
        <f>INDEX('Com Measure Mapping'!V:V,MATCH($C38,'Com Measure Mapping'!B:B,0))</f>
        <v>employee</v>
      </c>
      <c r="AF38" s="125">
        <f>AC38</f>
        <v>25</v>
      </c>
      <c r="AG38" s="125">
        <f>IFERROR(IF($D$2="Original",H38*AC38,H38*AF38),0)</f>
        <v>741.35365132077561</v>
      </c>
      <c r="AH38" s="132">
        <f>IF(ISERROR(AG38/AA38),0,AG38/AA38)</f>
        <v>0.14526235327319972</v>
      </c>
      <c r="AI38" s="132">
        <f>IF(AA38=0,0,(AG38+AB38)/AA38)</f>
        <v>0.36880060487503247</v>
      </c>
      <c r="AJ38" s="121">
        <f>IFERROR(IF($D$2="Original",IF($AG38=0,"-",(VLOOKUP($X38,AC,7)*$P38)/($AG38+$AB38)),IF($AG38=0,"-",(VLOOKUP($Z38,AC,7)*$P38)/($AG38+$AB38))),0)</f>
        <v>3.9967649438879493</v>
      </c>
      <c r="AK38" s="76"/>
      <c r="AL38" s="132">
        <f>IF(ISERROR(W38/AA38),0,W38/AA38)</f>
        <v>5.9588894356703802E-2</v>
      </c>
      <c r="AM38" s="132">
        <f>IF(AA38=0,0,(W38+AB38)/AA38)</f>
        <v>0.28312714595853655</v>
      </c>
      <c r="AN38" s="121">
        <f>IFERROR(IF($D$2="Original",IF($W38=0,"-",(VLOOKUP($X38,AC,5)*$P38)/(W38+AB38)),IF($W38=0,"-",(VLOOKUP($Z38,AC,5)*$P38)/(W38+AB38))),0)</f>
        <v>4.7328859132717795</v>
      </c>
    </row>
    <row r="39" spans="2:40" s="3" customFormat="1" ht="13.5" thickBot="1" x14ac:dyDescent="0.25">
      <c r="B39" s="3">
        <v>20</v>
      </c>
      <c r="C39" s="104" t="str">
        <f>E39&amp;"_"&amp;F39&amp;"_"&amp;G39</f>
        <v>Insulation - Roof - Tier 1 - Min R-21_Roof Insulation_Tier 1 /  Minimum R-21</v>
      </c>
      <c r="D39" s="1"/>
      <c r="E39" s="114" t="s">
        <v>128</v>
      </c>
      <c r="F39" s="114" t="s">
        <v>123</v>
      </c>
      <c r="G39" s="114" t="s">
        <v>129</v>
      </c>
      <c r="H39" s="120">
        <f>P39/N39</f>
        <v>0</v>
      </c>
      <c r="I39" s="178">
        <v>0</v>
      </c>
      <c r="J39" s="120">
        <v>0.35</v>
      </c>
      <c r="K39" s="117" t="s">
        <v>118</v>
      </c>
      <c r="L39" s="119">
        <f>IF(INDEX('Com Measure Mapping'!U:U,MATCH($C39,'Com Measure Mapping'!B:B,0))="N/A",J39,INDEX('Com Measure Mapping'!U:U,MATCH($C39,'Com Measure Mapping'!B:B,0)))</f>
        <v>4.0099257457527848E-2</v>
      </c>
      <c r="M39" s="119" t="str">
        <f>INDEX('Com Measure Mapping'!V:V,MATCH($C39,'Com Measure Mapping'!B:B,0))</f>
        <v>sqft roof</v>
      </c>
      <c r="N39" s="120">
        <f>J39</f>
        <v>0.35</v>
      </c>
      <c r="O39" s="120">
        <f>H39</f>
        <v>0</v>
      </c>
      <c r="P39" s="120">
        <f>$P$72*I39</f>
        <v>0</v>
      </c>
      <c r="Q39" s="126">
        <v>1.83</v>
      </c>
      <c r="R39" s="131">
        <f>IF(INDEX('Com Measure Mapping'!W:W,MATCH($C39,'Com Measure Mapping'!B:B,0))="N/A",Q39,INDEX('Com Measure Mapping'!W:W,MATCH($C39,'Com Measure Mapping'!B:B,0)))</f>
        <v>0.47571428571428576</v>
      </c>
      <c r="S39" s="126">
        <f>Q39</f>
        <v>1.83</v>
      </c>
      <c r="T39" s="126">
        <f>IFERROR(IF($D$2="Original",O39*Q39,O39*S39),0)</f>
        <v>0</v>
      </c>
      <c r="U39" s="126">
        <v>0</v>
      </c>
      <c r="V39" s="126">
        <f>IFERROR(IF($D$2="Original",PV($F$76,$X39,(-0.05*0.9*$J39)),PV($F$76,$Z39,(-0.05*0.9*$N39))),0)</f>
        <v>0.29333838484702779</v>
      </c>
      <c r="W39" s="126">
        <f>IFERROR(IF($D$2="Original",MAX(0,O39*(Q39-U39-V39)),MAX(0,O39*(S39-U39-V39))),0)</f>
        <v>0</v>
      </c>
      <c r="X39" s="117">
        <v>30</v>
      </c>
      <c r="Y39" s="128">
        <f>IF(INDEX('Com Measure Mapping'!X:X,MATCH($C39,'Com Measure Mapping'!B:B,0))="N/A",X39,INDEX('Com Measure Mapping'!X:X,MATCH($C39,'Com Measure Mapping'!B:B,0)))</f>
        <v>45</v>
      </c>
      <c r="Z39" s="120">
        <f>X39</f>
        <v>30</v>
      </c>
      <c r="AA39" s="120">
        <f>IFERROR(IF($D$2="Original",PV($F$76,X39,-P39),PV($F$76,Z39,-P39)),0)</f>
        <v>0</v>
      </c>
      <c r="AB39" s="126">
        <f>I39*$AB$72</f>
        <v>0</v>
      </c>
      <c r="AC39" s="126">
        <v>2</v>
      </c>
      <c r="AD39" s="131">
        <f>IF(INDEX('Com Measure Mapping'!Y:Y,MATCH($C39,'Com Measure Mapping'!B:B,0))="N/A",AC39,INDEX('Com Measure Mapping'!Y:Y,MATCH($C39,'Com Measure Mapping'!B:B,0)))</f>
        <v>0.38627184244362267</v>
      </c>
      <c r="AE39" s="119" t="str">
        <f>INDEX('Com Measure Mapping'!V:V,MATCH($C39,'Com Measure Mapping'!B:B,0))</f>
        <v>sqft roof</v>
      </c>
      <c r="AF39" s="126">
        <v>2</v>
      </c>
      <c r="AG39" s="126">
        <f>IFERROR(IF($D$2="Original",H39*AC39,H39*AF39),0)</f>
        <v>0</v>
      </c>
      <c r="AH39" s="133">
        <f>IF(ISERROR(AG39/AA39),0,AG39/AA39)</f>
        <v>0</v>
      </c>
      <c r="AI39" s="133">
        <f>IF(AA39=0,0,(AG39+AB39)/AA39)</f>
        <v>0</v>
      </c>
      <c r="AJ39" s="122" t="str">
        <f>IFERROR(IF($D$2="Original",IF($AG39=0,"-",(VLOOKUP($X39,AC,7)*$P39)/($AG39+$AB39)),IF($AG39=0,"-",(VLOOKUP($Z39,AC,7)*$P39)/($AG39+$AB39))),0)</f>
        <v>-</v>
      </c>
      <c r="AK39" s="76"/>
      <c r="AL39" s="133">
        <f>IF(ISERROR(W39/AA39),0,W39/AA39)</f>
        <v>0</v>
      </c>
      <c r="AM39" s="133">
        <f>IF(AA39=0,0,(W39+AB39)/AA39)</f>
        <v>0</v>
      </c>
      <c r="AN39" s="122" t="str">
        <f>IFERROR(IF($D$2="Original",IF($W39=0,"-",(VLOOKUP($X39,AC,5)*$P39)/(W39+AB39)),IF($W39=0,"-",(VLOOKUP($Z39,AC,5)*$P39)/(W39+AB39))),0)</f>
        <v>-</v>
      </c>
    </row>
    <row r="40" spans="2:40" s="3" customFormat="1" ht="13.5" thickBot="1" x14ac:dyDescent="0.25">
      <c r="B40" s="163" t="s">
        <v>423</v>
      </c>
      <c r="C40" s="104" t="str">
        <f>E40&amp;"_"&amp;F40&amp;"_"&amp;G40</f>
        <v>Insulation - Roof - Tier 2 - Min R-30_Roof Insulation_Tier 2 /  Minimum R-30</v>
      </c>
      <c r="D40" s="1"/>
      <c r="E40" s="113" t="s">
        <v>122</v>
      </c>
      <c r="F40" s="113" t="s">
        <v>123</v>
      </c>
      <c r="G40" s="113" t="s">
        <v>124</v>
      </c>
      <c r="H40" s="118">
        <f>P40/N40</f>
        <v>193319.90404254879</v>
      </c>
      <c r="I40" s="177">
        <v>0.12939319570466101</v>
      </c>
      <c r="J40" s="118">
        <v>0.36</v>
      </c>
      <c r="K40" s="116" t="s">
        <v>118</v>
      </c>
      <c r="L40" s="147">
        <f>IF(INDEX('Com Measure Mapping'!U:U,MATCH($C40,'Com Measure Mapping'!B:B,0))="N/A",J40,INDEX('Com Measure Mapping'!U:U,MATCH($C40,'Com Measure Mapping'!B:B,0)))</f>
        <v>5.7284653510754076E-2</v>
      </c>
      <c r="M40" s="147" t="str">
        <f>INDEX('Com Measure Mapping'!V:V,MATCH($C40,'Com Measure Mapping'!B:B,0))</f>
        <v>sqft roof</v>
      </c>
      <c r="N40" s="118">
        <f>J40</f>
        <v>0.36</v>
      </c>
      <c r="O40" s="118">
        <f>H40</f>
        <v>193319.90404254879</v>
      </c>
      <c r="P40" s="118">
        <f>$P$72*I40</f>
        <v>69595.165455317561</v>
      </c>
      <c r="Q40" s="125">
        <v>2.15</v>
      </c>
      <c r="R40" s="145">
        <f>IF(INDEX('Com Measure Mapping'!W:W,MATCH($C40,'Com Measure Mapping'!B:B,0))="N/A",Q40,INDEX('Com Measure Mapping'!W:W,MATCH($C40,'Com Measure Mapping'!B:B,0)))</f>
        <v>0.67959183673469392</v>
      </c>
      <c r="S40" s="125">
        <f>Q40</f>
        <v>2.15</v>
      </c>
      <c r="T40" s="125">
        <f>IFERROR(IF($D$2="Original",O40*Q40,O40*S40),0)</f>
        <v>415637.79369147989</v>
      </c>
      <c r="U40" s="125">
        <v>0</v>
      </c>
      <c r="V40" s="125">
        <f>IFERROR(IF($D$2="Original",PV($F$76,$X40,(-0.05*0.9*$J40)),PV($F$76,$Z40,(-0.05*0.9*$N40))),0)</f>
        <v>0.30171948155694289</v>
      </c>
      <c r="W40" s="125">
        <f>IFERROR(IF($D$2="Original",MAX(0,O40*(Q40-U40-V40)),MAX(0,O40*(S40-U40-V40))),0)</f>
        <v>357309.41246912413</v>
      </c>
      <c r="X40" s="116">
        <v>30</v>
      </c>
      <c r="Y40" s="146">
        <f>IF(INDEX('Com Measure Mapping'!X:X,MATCH($C40,'Com Measure Mapping'!B:B,0))="N/A",X40,INDEX('Com Measure Mapping'!X:X,MATCH($C40,'Com Measure Mapping'!B:B,0)))</f>
        <v>45</v>
      </c>
      <c r="Z40" s="118">
        <f>X40</f>
        <v>30</v>
      </c>
      <c r="AA40" s="118">
        <f>IFERROR(IF($D$2="Original",PV($F$76,X40,-P40),PV($F$76,Z40,-P40)),0)</f>
        <v>1296186.2493856833</v>
      </c>
      <c r="AB40" s="125">
        <f>I40*$AB$72</f>
        <v>223119.0276201365</v>
      </c>
      <c r="AC40" s="125">
        <v>2.5</v>
      </c>
      <c r="AD40" s="145">
        <f>IF(INDEX('Com Measure Mapping'!Y:Y,MATCH($C40,'Com Measure Mapping'!B:B,0))="N/A",AC40,INDEX('Com Measure Mapping'!Y:Y,MATCH($C40,'Com Measure Mapping'!B:B,0)))</f>
        <v>0.55181691777660391</v>
      </c>
      <c r="AE40" s="147" t="str">
        <f>INDEX('Com Measure Mapping'!V:V,MATCH($C40,'Com Measure Mapping'!B:B,0))</f>
        <v>sqft roof</v>
      </c>
      <c r="AF40" s="125">
        <v>2</v>
      </c>
      <c r="AG40" s="125">
        <f>IFERROR(IF($D$2="Original",H40*AC40,H40*AF40),0)</f>
        <v>386639.80808509758</v>
      </c>
      <c r="AH40" s="132">
        <f>IF(ISERROR(AG40/AA40),0,AG40/AA40)</f>
        <v>0.29829031766718889</v>
      </c>
      <c r="AI40" s="132">
        <f>IF(AA40=0,0,(AG40+AB40)/AA40)</f>
        <v>0.47042532351675864</v>
      </c>
      <c r="AJ40" s="121">
        <f>IFERROR(IF($D$2="Original",IF($AG40=0,"-",(VLOOKUP($X40,AC,7)*$P40)/($AG40+$AB40)),IF($AG40=0,"-",(VLOOKUP($Z40,AC,7)*$P40)/($AG40+$AB40))),0)</f>
        <v>3.9784828800346066</v>
      </c>
      <c r="AK40" s="76"/>
      <c r="AL40" s="132">
        <f>IF(ISERROR(W40/AA40),0,W40/AA40)</f>
        <v>0.27566209149222803</v>
      </c>
      <c r="AM40" s="132">
        <f>IF(AA40=0,0,(W40+AB40)/AA40)</f>
        <v>0.44779709734179785</v>
      </c>
      <c r="AN40" s="121">
        <f>IFERROR(IF($D$2="Original",IF($W40=0,"-",(VLOOKUP($X40,AC,5)*$P40)/(W40+AB40)),IF($W40=0,"-",(VLOOKUP($Z40,AC,5)*$P40)/(W40+AB40))),0)</f>
        <v>3.7995680451464762</v>
      </c>
    </row>
    <row r="41" spans="2:40" s="3" customFormat="1" ht="13.5" thickBot="1" x14ac:dyDescent="0.25">
      <c r="B41" s="3">
        <v>21</v>
      </c>
      <c r="C41" s="104" t="str">
        <f>E41&amp;"_"&amp;F41&amp;"_"&amp;G41</f>
        <v>Insulation - Wall - Tier 1 - Min R-11_Wall Insulation_Tier 1 / Minimum R-11</v>
      </c>
      <c r="D41" s="1"/>
      <c r="E41" s="114" t="s">
        <v>119</v>
      </c>
      <c r="F41" s="114" t="s">
        <v>120</v>
      </c>
      <c r="G41" s="114" t="s">
        <v>121</v>
      </c>
      <c r="H41" s="120">
        <v>0</v>
      </c>
      <c r="I41" s="178">
        <v>0</v>
      </c>
      <c r="J41" s="120">
        <v>0.16</v>
      </c>
      <c r="K41" s="117" t="s">
        <v>118</v>
      </c>
      <c r="L41" s="119">
        <f>IF(INDEX('Com Measure Mapping'!U:U,MATCH($C41,'Com Measure Mapping'!B:B,0))="N/A",J41,INDEX('Com Measure Mapping'!U:U,MATCH($C41,'Com Measure Mapping'!B:B,0)))</f>
        <v>5.7226097998990873E-2</v>
      </c>
      <c r="M41" s="119" t="str">
        <f>INDEX('Com Measure Mapping'!V:V,MATCH($C41,'Com Measure Mapping'!B:B,0))</f>
        <v>sqft wall</v>
      </c>
      <c r="N41" s="120">
        <v>0</v>
      </c>
      <c r="O41" s="120">
        <f>H41</f>
        <v>0</v>
      </c>
      <c r="P41" s="120">
        <f>$P$72*I41</f>
        <v>0</v>
      </c>
      <c r="Q41" s="126">
        <v>1.5</v>
      </c>
      <c r="R41" s="131">
        <f>IF(INDEX('Com Measure Mapping'!W:W,MATCH($C41,'Com Measure Mapping'!B:B,0))="N/A",Q41,INDEX('Com Measure Mapping'!W:W,MATCH($C41,'Com Measure Mapping'!B:B,0)))</f>
        <v>0.91142857142857148</v>
      </c>
      <c r="S41" s="126">
        <v>0</v>
      </c>
      <c r="T41" s="126">
        <f>IFERROR(IF($D$2="Original",O41*Q41,O41*S41),0)</f>
        <v>0</v>
      </c>
      <c r="U41" s="126">
        <v>0</v>
      </c>
      <c r="V41" s="126">
        <f>IFERROR(IF($D$2="Original",PV($F$76,$X41,(-0.05*0.9*$J41)),PV($F$76,$Z41,(-0.05*0.9*$N41))),0)</f>
        <v>0</v>
      </c>
      <c r="W41" s="126">
        <f>IFERROR(IF($D$2="Original",MAX(0,O41*(Q41-U41-V41)),MAX(0,O41*(S41-U41-V41))),0)</f>
        <v>0</v>
      </c>
      <c r="X41" s="117">
        <v>30</v>
      </c>
      <c r="Y41" s="128">
        <f>IF(INDEX('Com Measure Mapping'!X:X,MATCH($C41,'Com Measure Mapping'!B:B,0))="N/A",X41,INDEX('Com Measure Mapping'!X:X,MATCH($C41,'Com Measure Mapping'!B:B,0)))</f>
        <v>45</v>
      </c>
      <c r="Z41" s="120">
        <f>X41</f>
        <v>30</v>
      </c>
      <c r="AA41" s="120">
        <f>IFERROR(IF($D$2="Original",PV($F$76,X41,-P41),PV($F$76,Z41,-P41)),0)</f>
        <v>0</v>
      </c>
      <c r="AB41" s="126">
        <f>I41*$AB$72</f>
        <v>0</v>
      </c>
      <c r="AC41" s="126">
        <v>1.25</v>
      </c>
      <c r="AD41" s="131">
        <f>IF(INDEX('Com Measure Mapping'!Y:Y,MATCH($C41,'Com Measure Mapping'!B:B,0))="N/A",AC41,INDEX('Com Measure Mapping'!Y:Y,MATCH($C41,'Com Measure Mapping'!B:B,0)))</f>
        <v>0.47209253813884161</v>
      </c>
      <c r="AE41" s="119" t="str">
        <f>INDEX('Com Measure Mapping'!V:V,MATCH($C41,'Com Measure Mapping'!B:B,0))</f>
        <v>sqft wall</v>
      </c>
      <c r="AF41" s="126">
        <v>0</v>
      </c>
      <c r="AG41" s="126">
        <f>IFERROR(IF($D$2="Original",H41*AC41,H41*AF41),0)</f>
        <v>0</v>
      </c>
      <c r="AH41" s="133">
        <f>IF(ISERROR(AG41/AA41),0,AG41/AA41)</f>
        <v>0</v>
      </c>
      <c r="AI41" s="133">
        <f>IF(AA41=0,0,(AG41+AB41)/AA41)</f>
        <v>0</v>
      </c>
      <c r="AJ41" s="122" t="str">
        <f>IFERROR(IF($D$2="Original",IF($AG41=0,"-",(VLOOKUP($X41,AC,7)*$P41)/($AG41+$AB41)),IF($AG41=0,"-",(VLOOKUP($Z41,AC,7)*$P41)/($AG41+$AB41))),0)</f>
        <v>-</v>
      </c>
      <c r="AK41" s="76"/>
      <c r="AL41" s="133">
        <f>IF(ISERROR(W41/AA41),0,W41/AA41)</f>
        <v>0</v>
      </c>
      <c r="AM41" s="133">
        <f>IF(AA41=0,0,(W41+AB41)/AA41)</f>
        <v>0</v>
      </c>
      <c r="AN41" s="122" t="str">
        <f>IFERROR(IF($D$2="Original",IF($W41=0,"-",(VLOOKUP($X41,AC,5)*$P41)/(W41+AB41)),IF($W41=0,"-",(VLOOKUP($Z41,AC,5)*$P41)/(W41+AB41))),0)</f>
        <v>-</v>
      </c>
    </row>
    <row r="42" spans="2:40" s="3" customFormat="1" ht="13.5" thickBot="1" x14ac:dyDescent="0.25">
      <c r="B42" s="163" t="s">
        <v>424</v>
      </c>
      <c r="C42" s="104" t="str">
        <f>E42&amp;"_"&amp;F42&amp;"_"&amp;G42</f>
        <v>Insulation - Wall - Tier 2 - Min R-19_Wall Insulation_Tier 2 /  Minimum R-19</v>
      </c>
      <c r="D42" s="1"/>
      <c r="E42" s="113" t="s">
        <v>125</v>
      </c>
      <c r="F42" s="113" t="s">
        <v>120</v>
      </c>
      <c r="G42" s="113" t="s">
        <v>126</v>
      </c>
      <c r="H42" s="118">
        <f>P42/N42</f>
        <v>181279.20983105776</v>
      </c>
      <c r="I42" s="177">
        <v>6.4037440863389555E-2</v>
      </c>
      <c r="J42" s="118">
        <v>0.19</v>
      </c>
      <c r="K42" s="116" t="s">
        <v>127</v>
      </c>
      <c r="L42" s="147">
        <f>IF(INDEX('Com Measure Mapping'!U:U,MATCH($C42,'Com Measure Mapping'!B:B,0))="N/A",J42,INDEX('Com Measure Mapping'!U:U,MATCH($C42,'Com Measure Mapping'!B:B,0)))</f>
        <v>9.8845078361893324E-2</v>
      </c>
      <c r="M42" s="147" t="str">
        <f>INDEX('Com Measure Mapping'!V:V,MATCH($C42,'Com Measure Mapping'!B:B,0))</f>
        <v>sqft wall</v>
      </c>
      <c r="N42" s="118">
        <f>J42</f>
        <v>0.19</v>
      </c>
      <c r="O42" s="118">
        <f>H42</f>
        <v>181279.20983105776</v>
      </c>
      <c r="P42" s="118">
        <f>$P$72*I42</f>
        <v>34443.049867900976</v>
      </c>
      <c r="Q42" s="125">
        <v>1.7</v>
      </c>
      <c r="R42" s="145">
        <f>IF(INDEX('Com Measure Mapping'!W:W,MATCH($C42,'Com Measure Mapping'!B:B,0))="N/A",Q42,INDEX('Com Measure Mapping'!W:W,MATCH($C42,'Com Measure Mapping'!B:B,0)))</f>
        <v>1.5742857142857143</v>
      </c>
      <c r="S42" s="125">
        <f>Q42</f>
        <v>1.7</v>
      </c>
      <c r="T42" s="125">
        <f>IFERROR(IF($D$2="Original",O42*Q42,O42*S42),0)</f>
        <v>308174.65671279817</v>
      </c>
      <c r="U42" s="125">
        <v>0</v>
      </c>
      <c r="V42" s="125">
        <f>IFERROR(IF($D$2="Original",PV($F$76,$X42,(-0.05*0.9*$J42)),PV($F$76,$Z42,(-0.05*0.9*$N42))),0)</f>
        <v>0.15924083748838649</v>
      </c>
      <c r="W42" s="125">
        <f>IFERROR(IF($D$2="Original",MAX(0,O42*(Q42-U42-V42)),MAX(0,O42*(S42-U42-V42))),0)</f>
        <v>279307.60352006758</v>
      </c>
      <c r="X42" s="116">
        <v>30</v>
      </c>
      <c r="Y42" s="146">
        <f>IF(INDEX('Com Measure Mapping'!X:X,MATCH($C42,'Com Measure Mapping'!B:B,0))="N/A",X42,INDEX('Com Measure Mapping'!X:X,MATCH($C42,'Com Measure Mapping'!B:B,0)))</f>
        <v>45</v>
      </c>
      <c r="Z42" s="118">
        <f>X42</f>
        <v>30</v>
      </c>
      <c r="AA42" s="118">
        <f>IFERROR(IF($D$2="Original",PV($F$76,X42,-P42),PV($F$76,Z42,-P42)),0)</f>
        <v>641490.07094956865</v>
      </c>
      <c r="AB42" s="125">
        <f>I42*$AB$72</f>
        <v>110422.89711534491</v>
      </c>
      <c r="AC42" s="125">
        <v>1.5</v>
      </c>
      <c r="AD42" s="145">
        <f>IF(INDEX('Com Measure Mapping'!Y:Y,MATCH($C42,'Com Measure Mapping'!B:B,0))="N/A",AC42,INDEX('Com Measure Mapping'!Y:Y,MATCH($C42,'Com Measure Mapping'!B:B,0)))</f>
        <v>0.81543256587618085</v>
      </c>
      <c r="AE42" s="147" t="str">
        <f>INDEX('Com Measure Mapping'!V:V,MATCH($C42,'Com Measure Mapping'!B:B,0))</f>
        <v>sqft wall</v>
      </c>
      <c r="AF42" s="125">
        <v>2</v>
      </c>
      <c r="AG42" s="125">
        <f>IFERROR(IF($D$2="Original",H42*AC42,H42*AF42),0)</f>
        <v>362558.41966211551</v>
      </c>
      <c r="AH42" s="132">
        <f>IF(ISERROR(AG42/AA42),0,AG42/AA42)</f>
        <v>0.56518165452730507</v>
      </c>
      <c r="AI42" s="132">
        <f>IF(AA42=0,0,(AG42+AB42)/AA42)</f>
        <v>0.73731666037687471</v>
      </c>
      <c r="AJ42" s="121">
        <f>IFERROR(IF($D$2="Original",IF($AG42=0,"-",(VLOOKUP($X42,AC,7)*$P42)/($AG42+$AB42)),IF($AG42=0,"-",(VLOOKUP($Z42,AC,7)*$P42)/($AG42+$AB42))),0)</f>
        <v>2.5383653951200826</v>
      </c>
      <c r="AK42" s="76"/>
      <c r="AL42" s="132">
        <f>IF(ISERROR(W42/AA42),0,W42/AA42)</f>
        <v>0.43540440634820926</v>
      </c>
      <c r="AM42" s="132">
        <f>IF(AA42=0,0,(W42+AB42)/AA42)</f>
        <v>0.60753941219777907</v>
      </c>
      <c r="AN42" s="121">
        <f>IFERROR(IF($D$2="Original",IF($W42=0,"-",(VLOOKUP($X42,AC,5)*$P42)/(W42+AB42)),IF($W42=0,"-",(VLOOKUP($Z42,AC,5)*$P42)/(W42+AB42))),0)</f>
        <v>2.8005352535307679</v>
      </c>
    </row>
    <row r="43" spans="2:40" s="3" customFormat="1" ht="13.5" thickBot="1" x14ac:dyDescent="0.25">
      <c r="B43" s="3">
        <v>10</v>
      </c>
      <c r="C43" s="104" t="str">
        <f>E43&amp;"_"&amp;F43&amp;"_"&amp;G43</f>
        <v>Low Temp Door Dishwasher_Energy Star_&lt;=.6kW Idle Rate, &lt;= 1.18 gal/rack</v>
      </c>
      <c r="D43" s="1"/>
      <c r="E43" s="114" t="s">
        <v>87</v>
      </c>
      <c r="F43" s="114" t="s">
        <v>15</v>
      </c>
      <c r="G43" s="114" t="s">
        <v>88</v>
      </c>
      <c r="H43" s="120">
        <v>0</v>
      </c>
      <c r="I43" s="178">
        <v>0</v>
      </c>
      <c r="J43" s="120">
        <v>448</v>
      </c>
      <c r="K43" s="117" t="s">
        <v>47</v>
      </c>
      <c r="L43" s="119">
        <f>IF(INDEX('Com Measure Mapping'!U:U,MATCH($C43,'Com Measure Mapping'!B:B,0))="N/A",J43,INDEX('Com Measure Mapping'!U:U,MATCH($C43,'Com Measure Mapping'!B:B,0)))</f>
        <v>244.77777777777777</v>
      </c>
      <c r="M43" s="119" t="str">
        <f>INDEX('Com Measure Mapping'!V:V,MATCH($C43,'Com Measure Mapping'!B:B,0))</f>
        <v>perBldg</v>
      </c>
      <c r="N43" s="120">
        <v>0</v>
      </c>
      <c r="O43" s="120">
        <f>H43</f>
        <v>0</v>
      </c>
      <c r="P43" s="120">
        <f>$P$72*I43</f>
        <v>0</v>
      </c>
      <c r="Q43" s="126">
        <v>1800</v>
      </c>
      <c r="R43" s="131">
        <f>IF(INDEX('Com Measure Mapping'!W:W,MATCH($C43,'Com Measure Mapping'!B:B,0))="N/A",Q43,INDEX('Com Measure Mapping'!W:W,MATCH($C43,'Com Measure Mapping'!B:B,0)))</f>
        <v>453.67333333333335</v>
      </c>
      <c r="S43" s="126">
        <v>0</v>
      </c>
      <c r="T43" s="126">
        <f>IFERROR(IF($D$2="Original",O43*Q43,O43*S43),0)</f>
        <v>0</v>
      </c>
      <c r="U43" s="126">
        <v>0</v>
      </c>
      <c r="V43" s="126">
        <f>IFERROR(IF($D$2="Original",PV($F$76,$X43,(-0.05*0.9*$J43))+PV($F$76,$X43,-4500/1000*10),PV($F$76,$Z43,(-0.05*0.9*$N43))+PV($F$76,$Z43,-4500/1000*10)),0)</f>
        <v>0</v>
      </c>
      <c r="W43" s="126">
        <f>IFERROR(IF($D$2="Original",MAX(0,O43*(Q43-U43-V43)),MAX(0,O43*(S43-U43-V43))),0)</f>
        <v>0</v>
      </c>
      <c r="X43" s="117">
        <v>12</v>
      </c>
      <c r="Y43" s="128">
        <f>IF(INDEX('Com Measure Mapping'!X:X,MATCH($C43,'Com Measure Mapping'!B:B,0))="N/A",X43,INDEX('Com Measure Mapping'!X:X,MATCH($C43,'Com Measure Mapping'!B:B,0)))</f>
        <v>12.222222222222221</v>
      </c>
      <c r="Z43" s="120">
        <v>0</v>
      </c>
      <c r="AA43" s="120">
        <f>IFERROR(IF($D$2="Original",PV($F$76,X43,-P43),PV($F$76,Z43,-P43)),0)</f>
        <v>0</v>
      </c>
      <c r="AB43" s="126">
        <f>I43*$AB$72</f>
        <v>0</v>
      </c>
      <c r="AC43" s="126">
        <v>800</v>
      </c>
      <c r="AD43" s="131">
        <f>IF(INDEX('Com Measure Mapping'!Y:Y,MATCH($C43,'Com Measure Mapping'!B:B,0))="N/A",AC43,INDEX('Com Measure Mapping'!Y:Y,MATCH($C43,'Com Measure Mapping'!B:B,0)))</f>
        <v>453.67439999999999</v>
      </c>
      <c r="AE43" s="119" t="str">
        <f>INDEX('Com Measure Mapping'!V:V,MATCH($C43,'Com Measure Mapping'!B:B,0))</f>
        <v>perBldg</v>
      </c>
      <c r="AF43" s="126">
        <v>0</v>
      </c>
      <c r="AG43" s="126">
        <f>IFERROR(IF($D$2="Original",H43*AC43,H43*AF43),0)</f>
        <v>0</v>
      </c>
      <c r="AH43" s="133">
        <f>IF(ISERROR(AG43/AA43),0,AG43/AA43)</f>
        <v>0</v>
      </c>
      <c r="AI43" s="133">
        <f>IF(AA43=0,0,(AG43+AB43)/AA43)</f>
        <v>0</v>
      </c>
      <c r="AJ43" s="122" t="str">
        <f>IFERROR(IF($D$2="Original",IF($AG43=0,"-",(VLOOKUP($X43,AC,7)*$P43)/($AG43+$AB43)),IF($AG43=0,"-",(VLOOKUP($Z43,AC,7)*$P43)/($AG43+$AB43))),0)</f>
        <v>-</v>
      </c>
      <c r="AK43" s="76"/>
      <c r="AL43" s="133">
        <f>IF(ISERROR(W43/AA43),0,W43/AA43)</f>
        <v>0</v>
      </c>
      <c r="AM43" s="133">
        <f>IF(AA43=0,0,(W43+AB43)/AA43)</f>
        <v>0</v>
      </c>
      <c r="AN43" s="122" t="str">
        <f>IFERROR(IF($D$2="Original",IF($W43=0,"-",(VLOOKUP($X43,AC,5)*$P43)/(W43+AB43)),IF($W43=0,"-",(VLOOKUP($Z43,AC,5)*$P43)/(W43+AB43))),0)</f>
        <v>-</v>
      </c>
    </row>
    <row r="44" spans="2:40" s="3" customFormat="1" ht="13.5" thickBot="1" x14ac:dyDescent="0.25">
      <c r="B44" s="3">
        <v>23</v>
      </c>
      <c r="C44" s="104" t="str">
        <f>E44&amp;"_"&amp;F44&amp;"_"&amp;G44</f>
        <v>Low Temp Multi Tank Dishwasher_Energy Star_&lt;=2kW Idle Rate, &lt;=.50 gal/rack</v>
      </c>
      <c r="D44" s="1"/>
      <c r="E44" s="113" t="s">
        <v>148</v>
      </c>
      <c r="F44" s="113" t="s">
        <v>15</v>
      </c>
      <c r="G44" s="113" t="s">
        <v>163</v>
      </c>
      <c r="H44" s="118">
        <v>0</v>
      </c>
      <c r="I44" s="177">
        <v>0</v>
      </c>
      <c r="J44" s="118">
        <v>645</v>
      </c>
      <c r="K44" s="116" t="s">
        <v>47</v>
      </c>
      <c r="L44" s="147">
        <f>IF(INDEX('Com Measure Mapping'!U:U,MATCH($C44,'Com Measure Mapping'!B:B,0))="N/A",J44,INDEX('Com Measure Mapping'!U:U,MATCH($C44,'Com Measure Mapping'!B:B,0)))</f>
        <v>244.77777777777777</v>
      </c>
      <c r="M44" s="147" t="str">
        <f>INDEX('Com Measure Mapping'!V:V,MATCH($C44,'Com Measure Mapping'!B:B,0))</f>
        <v>perBldg</v>
      </c>
      <c r="N44" s="118">
        <v>0</v>
      </c>
      <c r="O44" s="118">
        <f>H44</f>
        <v>0</v>
      </c>
      <c r="P44" s="118">
        <f>$P$72*I44</f>
        <v>0</v>
      </c>
      <c r="Q44" s="125">
        <v>4000</v>
      </c>
      <c r="R44" s="145">
        <f>IF(INDEX('Com Measure Mapping'!W:W,MATCH($C44,'Com Measure Mapping'!B:B,0))="N/A",Q44,INDEX('Com Measure Mapping'!W:W,MATCH($C44,'Com Measure Mapping'!B:B,0)))</f>
        <v>453.67333333333335</v>
      </c>
      <c r="S44" s="125">
        <v>0</v>
      </c>
      <c r="T44" s="125">
        <f>IFERROR(IF($D$2="Original",O44*Q44,O44*S44),0)</f>
        <v>0</v>
      </c>
      <c r="U44" s="125">
        <v>0</v>
      </c>
      <c r="V44" s="125">
        <f>IFERROR(IF($D$2="Original",PV($F$76,$X44,(-0.05*0.9*$J44))+PV($F$76,$X44,-9),PV($F$76,$Z44,(-0.05*0.9*$N44))+PV($F$76,$Z44,-9)),0)</f>
        <v>0</v>
      </c>
      <c r="W44" s="125">
        <f>IFERROR(IF($D$2="Original",MAX(0,O44*(Q44-U44-V44)),MAX(0,O44*(S44-U44-V44))),0)</f>
        <v>0</v>
      </c>
      <c r="X44" s="116">
        <v>20</v>
      </c>
      <c r="Y44" s="146">
        <f>IF(INDEX('Com Measure Mapping'!X:X,MATCH($C44,'Com Measure Mapping'!B:B,0))="N/A",X44,INDEX('Com Measure Mapping'!X:X,MATCH($C44,'Com Measure Mapping'!B:B,0)))</f>
        <v>12.222222222222221</v>
      </c>
      <c r="Z44" s="118">
        <v>0</v>
      </c>
      <c r="AA44" s="118">
        <f>IFERROR(IF($D$2="Original",PV($F$76,X44,-P44),PV($F$76,Z44,-P44)),0)</f>
        <v>0</v>
      </c>
      <c r="AB44" s="125">
        <f>I44*$AB$72</f>
        <v>0</v>
      </c>
      <c r="AC44" s="125">
        <v>2500</v>
      </c>
      <c r="AD44" s="145">
        <f>IF(INDEX('Com Measure Mapping'!Y:Y,MATCH($C44,'Com Measure Mapping'!B:B,0))="N/A",AC44,INDEX('Com Measure Mapping'!Y:Y,MATCH($C44,'Com Measure Mapping'!B:B,0)))</f>
        <v>453.67439999999999</v>
      </c>
      <c r="AE44" s="147" t="str">
        <f>INDEX('Com Measure Mapping'!V:V,MATCH($C44,'Com Measure Mapping'!B:B,0))</f>
        <v>perBldg</v>
      </c>
      <c r="AF44" s="125">
        <v>0</v>
      </c>
      <c r="AG44" s="125">
        <f>IFERROR(IF($D$2="Original",H44*AC44,H44*AF44),0)</f>
        <v>0</v>
      </c>
      <c r="AH44" s="132">
        <f>IF(ISERROR(AG44/AA44),0,AG44/AA44)</f>
        <v>0</v>
      </c>
      <c r="AI44" s="132">
        <f>IF(AA44=0,0,(AG44+AB44)/AA44)</f>
        <v>0</v>
      </c>
      <c r="AJ44" s="121" t="str">
        <f>IFERROR(IF($D$2="Original",IF($AG44=0,"-",(VLOOKUP($X44,AC,7)*$P44)/($AG44+$AB44)),IF($AG44=0,"-",(VLOOKUP($Z44,AC,7)*$P44)/($AG44+$AB44))),0)</f>
        <v>-</v>
      </c>
      <c r="AK44" s="76"/>
      <c r="AL44" s="132">
        <f>IF(ISERROR(W44/AA44),0,W44/AA44)</f>
        <v>0</v>
      </c>
      <c r="AM44" s="132">
        <f>IF(AA44=0,0,(W44+AB44)/AA44)</f>
        <v>0</v>
      </c>
      <c r="AN44" s="121" t="str">
        <f>IFERROR(IF($D$2="Original",IF($W44=0,"-",(VLOOKUP($X44,AC,5)*$P44)/(W44+AB44)),IF($W44=0,"-",(VLOOKUP($Z44,AC,5)*$P44)/(W44+AB44))),0)</f>
        <v>-</v>
      </c>
    </row>
    <row r="45" spans="2:40" s="3" customFormat="1" ht="13.5" thickBot="1" x14ac:dyDescent="0.25">
      <c r="B45" s="3">
        <v>22</v>
      </c>
      <c r="C45" s="104" t="str">
        <f>E45&amp;"_"&amp;F45&amp;"_"&amp;G45</f>
        <v>Motion Faucet Controls_Motion Controlled Faucet_&lt;= 1.8 gpm, Watersense Certified</v>
      </c>
      <c r="D45" s="1"/>
      <c r="E45" s="114" t="s">
        <v>76</v>
      </c>
      <c r="F45" s="114" t="s">
        <v>77</v>
      </c>
      <c r="G45" s="114" t="s">
        <v>55</v>
      </c>
      <c r="H45" s="120">
        <v>0</v>
      </c>
      <c r="I45" s="178">
        <v>0</v>
      </c>
      <c r="J45" s="120">
        <v>136</v>
      </c>
      <c r="K45" s="117" t="s">
        <v>78</v>
      </c>
      <c r="L45" s="119">
        <f>IF(INDEX('Com Measure Mapping'!U:U,MATCH($C45,'Com Measure Mapping'!B:B,0))="N/A",J45,INDEX('Com Measure Mapping'!U:U,MATCH($C45,'Com Measure Mapping'!B:B,0)))</f>
        <v>0</v>
      </c>
      <c r="M45" s="119" t="str">
        <f>INDEX('Com Measure Mapping'!V:V,MATCH($C45,'Com Measure Mapping'!B:B,0))</f>
        <v>perBldg</v>
      </c>
      <c r="N45" s="120">
        <f>L45</f>
        <v>0</v>
      </c>
      <c r="O45" s="120">
        <f>H45</f>
        <v>0</v>
      </c>
      <c r="P45" s="120">
        <f>$P$72*I45</f>
        <v>0</v>
      </c>
      <c r="Q45" s="126">
        <v>315</v>
      </c>
      <c r="R45" s="131">
        <f>IF(INDEX('Com Measure Mapping'!W:W,MATCH($C45,'Com Measure Mapping'!B:B,0))="N/A",Q45,INDEX('Com Measure Mapping'!W:W,MATCH($C45,'Com Measure Mapping'!B:B,0)))</f>
        <v>0</v>
      </c>
      <c r="S45" s="126">
        <f>R45</f>
        <v>0</v>
      </c>
      <c r="T45" s="126">
        <f>IFERROR(IF($D$2="Original",O45*Q45,O45*S45),0)</f>
        <v>0</v>
      </c>
      <c r="U45" s="126">
        <v>0</v>
      </c>
      <c r="V45" s="126">
        <f>IFERROR(IF($D$2="Original",PV($F$76,$X45,(-0.05*0.9*$J45))+PV($F$76,$X45,-850/1000*10),PV($F$76,$Z45,(-0.05*0.9*$N45))+PV($F$76,$Z45,-850/1000*10)),0)</f>
        <v>0</v>
      </c>
      <c r="W45" s="126">
        <f>IFERROR(IF($D$2="Original",MAX(0,O45*(Q45-U45-V45)),MAX(0,O45*(S45-U45-V45))),0)</f>
        <v>0</v>
      </c>
      <c r="X45" s="117">
        <v>5</v>
      </c>
      <c r="Y45" s="128">
        <f>IF(INDEX('Com Measure Mapping'!X:X,MATCH($C45,'Com Measure Mapping'!B:B,0))="N/A",X45,INDEX('Com Measure Mapping'!X:X,MATCH($C45,'Com Measure Mapping'!B:B,0)))</f>
        <v>5</v>
      </c>
      <c r="Z45" s="120">
        <v>0</v>
      </c>
      <c r="AA45" s="120">
        <f>IFERROR(IF($D$2="Original",PV($F$76,X45,-P45),PV($F$76,Z45,-P45)),0)</f>
        <v>0</v>
      </c>
      <c r="AB45" s="126">
        <f>I45*$AB$72</f>
        <v>0</v>
      </c>
      <c r="AC45" s="126">
        <v>105</v>
      </c>
      <c r="AD45" s="131">
        <f>IF(INDEX('Com Measure Mapping'!Y:Y,MATCH($C45,'Com Measure Mapping'!B:B,0))="N/A",AC45,INDEX('Com Measure Mapping'!Y:Y,MATCH($C45,'Com Measure Mapping'!B:B,0)))</f>
        <v>0</v>
      </c>
      <c r="AE45" s="119" t="str">
        <f>INDEX('Com Measure Mapping'!V:V,MATCH($C45,'Com Measure Mapping'!B:B,0))</f>
        <v>perBldg</v>
      </c>
      <c r="AF45" s="126">
        <f>AD45</f>
        <v>0</v>
      </c>
      <c r="AG45" s="126">
        <f>IFERROR(IF($D$2="Original",H45*AC45,H45*AF45),0)</f>
        <v>0</v>
      </c>
      <c r="AH45" s="133">
        <f>IF(ISERROR(AG45/AA45),0,AG45/AA45)</f>
        <v>0</v>
      </c>
      <c r="AI45" s="133">
        <f>IF(AA45=0,0,(AG45+AB45)/AA45)</f>
        <v>0</v>
      </c>
      <c r="AJ45" s="122" t="str">
        <f>IFERROR(IF($D$2="Original",IF($AG45=0,"-",(VLOOKUP($X45,AC,7)*$P45)/($AG45+$AB45)),IF($AG45=0,"-",(VLOOKUP($Z45,AC,7)*$P45)/($AG45+$AB45))),0)</f>
        <v>-</v>
      </c>
      <c r="AK45" s="76"/>
      <c r="AL45" s="133">
        <f>IF(ISERROR(W45/AA45),0,W45/AA45)</f>
        <v>0</v>
      </c>
      <c r="AM45" s="133">
        <f>IF(AA45=0,0,(W45+AB45)/AA45)</f>
        <v>0</v>
      </c>
      <c r="AN45" s="122" t="str">
        <f>IFERROR(IF($D$2="Original",IF($W45=0,"-",(VLOOKUP($X45,AC,5)*$P45)/(W45+AB45)),IF($W45=0,"-",(VLOOKUP($Z45,AC,5)*$P45)/(W45+AB45))),0)</f>
        <v>-</v>
      </c>
    </row>
    <row r="46" spans="2:40" s="3" customFormat="1" ht="26.25" thickBot="1" x14ac:dyDescent="0.25">
      <c r="B46" s="3">
        <v>24</v>
      </c>
      <c r="C46" s="104" t="str">
        <f>E46&amp;"_"&amp;F46&amp;"_"&amp;G46</f>
        <v>Ozone Injection Laundry_Venturi Injection or Bubble Diffusion Ozone Injection Laundry_Minimum 125 lb Total Washer/Extractor Capacity  and Pre Approved by CNG</v>
      </c>
      <c r="D46" s="1"/>
      <c r="E46" s="113" t="s">
        <v>149</v>
      </c>
      <c r="F46" s="113" t="s">
        <v>164</v>
      </c>
      <c r="G46" s="113" t="s">
        <v>165</v>
      </c>
      <c r="H46" s="118">
        <f>P46/N46</f>
        <v>4.4228841168883113</v>
      </c>
      <c r="I46" s="177">
        <v>2.1607741766680844E-2</v>
      </c>
      <c r="J46" s="118">
        <v>1049</v>
      </c>
      <c r="K46" s="116" t="s">
        <v>168</v>
      </c>
      <c r="L46" s="147">
        <f>IF(INDEX('Com Measure Mapping'!U:U,MATCH($C46,'Com Measure Mapping'!B:B,0))="N/A",J46,INDEX('Com Measure Mapping'!U:U,MATCH($C46,'Com Measure Mapping'!B:B,0)))</f>
        <v>2627.6738128332263</v>
      </c>
      <c r="M46" s="147" t="str">
        <f>INDEX('Com Measure Mapping'!V:V,MATCH($C46,'Com Measure Mapping'!B:B,0))</f>
        <v>site</v>
      </c>
      <c r="N46" s="118">
        <f>L46</f>
        <v>2627.6738128332263</v>
      </c>
      <c r="O46" s="118">
        <f>H46</f>
        <v>4.4228841168883113</v>
      </c>
      <c r="P46" s="118">
        <f>$P$72*I46</f>
        <v>11621.896771143425</v>
      </c>
      <c r="Q46" s="125">
        <v>8283</v>
      </c>
      <c r="R46" s="145">
        <f>IF(INDEX('Com Measure Mapping'!W:W,MATCH($C46,'Com Measure Mapping'!B:B,0))="N/A",Q46,INDEX('Com Measure Mapping'!W:W,MATCH($C46,'Com Measure Mapping'!B:B,0)))</f>
        <v>14325.891111111114</v>
      </c>
      <c r="S46" s="125">
        <f>R46</f>
        <v>14325.891111111114</v>
      </c>
      <c r="T46" s="125">
        <f>IFERROR(IF($D$2="Original",O46*Q46,O46*S46),0)</f>
        <v>63361.756255604785</v>
      </c>
      <c r="U46" s="125">
        <v>0</v>
      </c>
      <c r="V46" s="125">
        <f>IFERROR(IF($D$2="Original",PV($F$76,$X46,(-0.05*0.9*$J46)),PV($F$76,$Z46,(-0.05*0.9*$N46))),0)</f>
        <v>988.37504786948739</v>
      </c>
      <c r="W46" s="125">
        <f>IFERROR(IF($D$2="Original",MAX(0,O46*(Q46-U46-V46)),MAX(0,O46*(S46-U46-V46))),0)</f>
        <v>58990.28795485411</v>
      </c>
      <c r="X46" s="116">
        <v>10</v>
      </c>
      <c r="Y46" s="146">
        <f>IF(INDEX('Com Measure Mapping'!X:X,MATCH($C46,'Com Measure Mapping'!B:B,0))="N/A",X46,INDEX('Com Measure Mapping'!X:X,MATCH($C46,'Com Measure Mapping'!B:B,0)))</f>
        <v>10</v>
      </c>
      <c r="Z46" s="118">
        <f>Y46</f>
        <v>10</v>
      </c>
      <c r="AA46" s="118">
        <f>IFERROR(IF($D$2="Original",PV($F$76,X46,-P46),PV($F$76,Z46,-P46)),0)</f>
        <v>97143.740016681768</v>
      </c>
      <c r="AB46" s="125">
        <f>I46*$AB$72</f>
        <v>37259.287907634345</v>
      </c>
      <c r="AC46" s="125">
        <v>2500</v>
      </c>
      <c r="AD46" s="145">
        <f>IF(INDEX('Com Measure Mapping'!Y:Y,MATCH($C46,'Com Measure Mapping'!B:B,0))="N/A",AC46,INDEX('Com Measure Mapping'!Y:Y,MATCH($C46,'Com Measure Mapping'!B:B,0)))</f>
        <v>8395.0617271038645</v>
      </c>
      <c r="AE46" s="147" t="str">
        <f>INDEX('Com Measure Mapping'!V:V,MATCH($C46,'Com Measure Mapping'!B:B,0))</f>
        <v>site</v>
      </c>
      <c r="AF46" s="125">
        <v>9000</v>
      </c>
      <c r="AG46" s="125">
        <f>IFERROR(IF($D$2="Original",H46*AC46,H46*AF46),0)</f>
        <v>39805.957051994803</v>
      </c>
      <c r="AH46" s="132">
        <f>IF(ISERROR(AG46/AA46),0,AG46/AA46)</f>
        <v>0.40976348084971015</v>
      </c>
      <c r="AI46" s="132">
        <f>IF(AA46=0,0,(AG46+AB46)/AA46)</f>
        <v>0.79331148817613262</v>
      </c>
      <c r="AJ46" s="121">
        <f>IFERROR(IF($D$2="Original",IF($AG46=0,"-",(VLOOKUP($X46,AC,7)*$P46)/($AG46+$AB46)),IF($AG46=0,"-",(VLOOKUP($Z46,AC,7)*$P46)/($AG46+$AB46))),0)</f>
        <v>1.4731992658287543</v>
      </c>
      <c r="AK46" s="76"/>
      <c r="AL46" s="132">
        <f>IF(ISERROR(W46/AA46),0,W46/AA46)</f>
        <v>0.60724744532920139</v>
      </c>
      <c r="AM46" s="132">
        <f>IF(AA46=0,0,(W46+AB46)/AA46)</f>
        <v>0.99079545265562374</v>
      </c>
      <c r="AN46" s="121">
        <f>IFERROR(IF($D$2="Original",IF($W46=0,"-",(VLOOKUP($X46,AC,5)*$P46)/(W46+AB46)),IF($W46=0,"-",(VLOOKUP($Z46,AC,5)*$P46)/(W46+AB46))),0)</f>
        <v>1.0723302251944213</v>
      </c>
    </row>
    <row r="47" spans="2:40" s="3" customFormat="1" ht="13.5" thickBot="1" x14ac:dyDescent="0.25">
      <c r="B47" s="3">
        <v>26</v>
      </c>
      <c r="C47" s="104" t="str">
        <f>E47&amp;"_"&amp;F47&amp;"_"&amp;G47</f>
        <v>Radiant Heating_Direct-fired Radiant Heating_None</v>
      </c>
      <c r="D47" s="1"/>
      <c r="E47" s="114" t="s">
        <v>10</v>
      </c>
      <c r="F47" s="114" t="s">
        <v>110</v>
      </c>
      <c r="G47" s="114" t="s">
        <v>20</v>
      </c>
      <c r="H47" s="120">
        <f>P47/N47</f>
        <v>908.89166788692444</v>
      </c>
      <c r="I47" s="178">
        <v>4.4945919279960438E-3</v>
      </c>
      <c r="J47" s="120">
        <v>4.33</v>
      </c>
      <c r="K47" s="117" t="s">
        <v>102</v>
      </c>
      <c r="L47" s="119">
        <f>IF(INDEX('Com Measure Mapping'!U:U,MATCH($C47,'Com Measure Mapping'!B:B,0))="N/A",J47,INDEX('Com Measure Mapping'!U:U,MATCH($C47,'Com Measure Mapping'!B:B,0)))</f>
        <v>2.6597803793585357</v>
      </c>
      <c r="M47" s="119" t="str">
        <f>INDEX('Com Measure Mapping'!V:V,MATCH($C47,'Com Measure Mapping'!B:B,0))</f>
        <v>kBtu/Hr</v>
      </c>
      <c r="N47" s="120">
        <f>L47</f>
        <v>2.6597803793585357</v>
      </c>
      <c r="O47" s="120">
        <f>H47</f>
        <v>908.89166788692444</v>
      </c>
      <c r="P47" s="120">
        <f>$P$72*I47</f>
        <v>2417.452225208096</v>
      </c>
      <c r="Q47" s="126">
        <v>21</v>
      </c>
      <c r="R47" s="131">
        <f>IF(INDEX('Com Measure Mapping'!W:W,MATCH($C47,'Com Measure Mapping'!B:B,0))="N/A",Q47,INDEX('Com Measure Mapping'!W:W,MATCH($C47,'Com Measure Mapping'!B:B,0)))</f>
        <v>5.54389193144468</v>
      </c>
      <c r="S47" s="126">
        <f>Q47</f>
        <v>21</v>
      </c>
      <c r="T47" s="126">
        <f>IFERROR(IF($D$2="Original",O47*Q47,O47*S47),0)</f>
        <v>19086.725025625412</v>
      </c>
      <c r="U47" s="126">
        <v>0</v>
      </c>
      <c r="V47" s="126">
        <f>IFERROR(IF($D$2="Original",PV($F$76,$X47,(-0.05*0.9*$J47)),PV($F$76,$Z47,(-0.05*0.9*$N47))),0)</f>
        <v>1.3883756486950625</v>
      </c>
      <c r="W47" s="126">
        <f>IFERROR(IF($D$2="Original",MAX(0,O47*(Q47-U47-V47)),MAX(0,O47*(S47-U47-V47))),0)</f>
        <v>17824.841966629367</v>
      </c>
      <c r="X47" s="117">
        <v>18</v>
      </c>
      <c r="Y47" s="128">
        <f>IF(INDEX('Com Measure Mapping'!X:X,MATCH($C47,'Com Measure Mapping'!B:B,0))="N/A",X47,INDEX('Com Measure Mapping'!X:X,MATCH($C47,'Com Measure Mapping'!B:B,0)))</f>
        <v>15</v>
      </c>
      <c r="Z47" s="120">
        <f>Y47</f>
        <v>15</v>
      </c>
      <c r="AA47" s="120">
        <f>IFERROR(IF($D$2="Original",PV($F$76,X47,-P47),PV($F$76,Z47,-P47)),0)</f>
        <v>28041.845755467682</v>
      </c>
      <c r="AB47" s="126">
        <f>I47*$AB$72</f>
        <v>7750.2450964480504</v>
      </c>
      <c r="AC47" s="126">
        <v>15</v>
      </c>
      <c r="AD47" s="131">
        <f>IF(INDEX('Com Measure Mapping'!Y:Y,MATCH($C47,'Com Measure Mapping'!B:B,0))="N/A",AC47,INDEX('Com Measure Mapping'!Y:Y,MATCH($C47,'Com Measure Mapping'!B:B,0)))</f>
        <v>1.6261126258630161</v>
      </c>
      <c r="AE47" s="119" t="str">
        <f>INDEX('Com Measure Mapping'!V:V,MATCH($C47,'Com Measure Mapping'!B:B,0))</f>
        <v>kBtu/Hr</v>
      </c>
      <c r="AF47" s="126">
        <f>AC47</f>
        <v>15</v>
      </c>
      <c r="AG47" s="126">
        <f>IFERROR(IF($D$2="Original",H47*AC47,H47*AF47),0)</f>
        <v>13633.375018303866</v>
      </c>
      <c r="AH47" s="133">
        <f>IF(ISERROR(AG47/AA47),0,AG47/AA47)</f>
        <v>0.48617965939868957</v>
      </c>
      <c r="AI47" s="133">
        <f>IF(AA47=0,0,(AG47+AB47)/AA47)</f>
        <v>0.7625610775133258</v>
      </c>
      <c r="AJ47" s="122">
        <f>IFERROR(IF($D$2="Original",IF($AG47=0,"-",(VLOOKUP($X47,AC,7)*$P47)/($AG47+$AB47)),IF($AG47=0,"-",(VLOOKUP($Z47,AC,7)*$P47)/($AG47+$AB47))),0)</f>
        <v>1.7199597205726274</v>
      </c>
      <c r="AK47" s="76"/>
      <c r="AL47" s="133">
        <f>IF(ISERROR(W47/AA47),0,W47/AA47)</f>
        <v>0.63565152315816531</v>
      </c>
      <c r="AM47" s="133">
        <f>IF(AA47=0,0,(W47+AB47)/AA47)</f>
        <v>0.91203294127280155</v>
      </c>
      <c r="AN47" s="122">
        <f>IFERROR(IF($D$2="Original",IF($W47=0,"-",(VLOOKUP($X47,AC,5)*$P47)/(W47+AB47)),IF($W47=0,"-",(VLOOKUP($Z47,AC,5)*$P47)/(W47+AB47))),0)</f>
        <v>1.3073434665927284</v>
      </c>
    </row>
    <row r="48" spans="2:40" s="3" customFormat="1" ht="26.25" thickBot="1" x14ac:dyDescent="0.25">
      <c r="B48" s="3">
        <v>1</v>
      </c>
      <c r="C48" s="104" t="str">
        <f>E48&amp;"_"&amp;F48&amp;"_"&amp;G48</f>
        <v>Steamer - 3 Pan_Connectionless Estar or CEE Qualified_&gt;=38% Cooking Efficiency,&lt;= 2083  Btu/hr /pan Idle Rate</v>
      </c>
      <c r="D48" s="1"/>
      <c r="E48" s="113" t="s">
        <v>100</v>
      </c>
      <c r="F48" s="113" t="s">
        <v>92</v>
      </c>
      <c r="G48" s="113" t="s">
        <v>93</v>
      </c>
      <c r="H48" s="118">
        <v>0</v>
      </c>
      <c r="I48" s="177">
        <v>0</v>
      </c>
      <c r="J48" s="118">
        <v>535</v>
      </c>
      <c r="K48" s="116" t="s">
        <v>47</v>
      </c>
      <c r="L48" s="147">
        <f>IF(INDEX('Com Measure Mapping'!U:U,MATCH($C48,'Com Measure Mapping'!B:B,0))="N/A",J48,INDEX('Com Measure Mapping'!U:U,MATCH($C48,'Com Measure Mapping'!B:B,0)))</f>
        <v>1022.5078302717453</v>
      </c>
      <c r="M48" s="147" t="str">
        <f>INDEX('Com Measure Mapping'!V:V,MATCH($C48,'Com Measure Mapping'!B:B,0))</f>
        <v>1 unit</v>
      </c>
      <c r="N48" s="118">
        <v>0</v>
      </c>
      <c r="O48" s="118">
        <f>H48</f>
        <v>0</v>
      </c>
      <c r="P48" s="118">
        <f>$P$72*I48</f>
        <v>0</v>
      </c>
      <c r="Q48" s="125">
        <v>2600</v>
      </c>
      <c r="R48" s="145">
        <f>IF(INDEX('Com Measure Mapping'!W:W,MATCH($C48,'Com Measure Mapping'!B:B,0))="N/A",Q48,INDEX('Com Measure Mapping'!W:W,MATCH($C48,'Com Measure Mapping'!B:B,0)))</f>
        <v>1107.3099999999997</v>
      </c>
      <c r="S48" s="125">
        <v>0</v>
      </c>
      <c r="T48" s="125">
        <f>IFERROR(IF($D$2="Original",O48*Q48,O48*S48),0)</f>
        <v>0</v>
      </c>
      <c r="U48" s="125">
        <v>0</v>
      </c>
      <c r="V48" s="125">
        <f>IFERROR(IF($D$2="Original",PV($F$76,$X48,(-0.05*0.9*$J48)),PV($F$76,$Z48,(-0.05*0.9*$N48))),0)</f>
        <v>0</v>
      </c>
      <c r="W48" s="125">
        <f>IFERROR(IF($D$2="Original",MAX(0,O48*(Q48-U48-V48)),MAX(0,O48*(S48-U48-V48))),0)</f>
        <v>0</v>
      </c>
      <c r="X48" s="116">
        <v>12</v>
      </c>
      <c r="Y48" s="146">
        <f>IF(INDEX('Com Measure Mapping'!X:X,MATCH($C48,'Com Measure Mapping'!B:B,0))="N/A",X48,INDEX('Com Measure Mapping'!X:X,MATCH($C48,'Com Measure Mapping'!B:B,0)))</f>
        <v>12</v>
      </c>
      <c r="Z48" s="118">
        <v>0</v>
      </c>
      <c r="AA48" s="118">
        <f>IFERROR(IF($D$2="Original",PV($F$76,X48,-P48),PV($F$76,Z48,-P48)),0)</f>
        <v>0</v>
      </c>
      <c r="AB48" s="125">
        <f>I48*$AB$72</f>
        <v>0</v>
      </c>
      <c r="AC48" s="125">
        <v>850</v>
      </c>
      <c r="AD48" s="145">
        <f>IF(INDEX('Com Measure Mapping'!Y:Y,MATCH($C48,'Com Measure Mapping'!B:B,0))="N/A",AC48,INDEX('Com Measure Mapping'!Y:Y,MATCH($C48,'Com Measure Mapping'!B:B,0)))</f>
        <v>943.10029559118243</v>
      </c>
      <c r="AE48" s="147" t="str">
        <f>INDEX('Com Measure Mapping'!V:V,MATCH($C48,'Com Measure Mapping'!B:B,0))</f>
        <v>1 unit</v>
      </c>
      <c r="AF48" s="125">
        <v>0</v>
      </c>
      <c r="AG48" s="125">
        <f>IFERROR(IF($D$2="Original",H48*AC48,H48*AF48),0)</f>
        <v>0</v>
      </c>
      <c r="AH48" s="132">
        <f>IF(ISERROR(AG48/AA48),0,AG48/AA48)</f>
        <v>0</v>
      </c>
      <c r="AI48" s="132">
        <f>IF(AA48=0,0,(AG48+AB48)/AA48)</f>
        <v>0</v>
      </c>
      <c r="AJ48" s="121" t="str">
        <f>IFERROR(IF($D$2="Original",IF($AG48=0,"-",(VLOOKUP($X48,AC,7)*$P48)/($AG48+$AB48)),IF($AG48=0,"-",(VLOOKUP($Z48,AC,7)*$P48)/($AG48+$AB48))),0)</f>
        <v>-</v>
      </c>
      <c r="AK48" s="76"/>
      <c r="AL48" s="132">
        <f>IF(ISERROR(W48/AA48),0,W48/AA48)</f>
        <v>0</v>
      </c>
      <c r="AM48" s="132">
        <f>IF(AA48=0,0,(W48+AB48)/AA48)</f>
        <v>0</v>
      </c>
      <c r="AN48" s="121" t="str">
        <f>IFERROR(IF($D$2="Original",IF($W48=0,"-",(VLOOKUP($X48,AC,5)*$P48)/(W48+AB48)),IF($W48=0,"-",(VLOOKUP($Z48,AC,5)*$P48)/(W48+AB48))),0)</f>
        <v>-</v>
      </c>
    </row>
    <row r="49" spans="2:40" s="3" customFormat="1" ht="26.25" thickBot="1" x14ac:dyDescent="0.25">
      <c r="B49" s="3">
        <v>2</v>
      </c>
      <c r="C49" s="104" t="str">
        <f>E49&amp;"_"&amp;F49&amp;"_"&amp;G49</f>
        <v>Steamer - 6 Pan_Connectionless Estar or CEE Qualified_&gt;=38% Cooking Efficiency,&lt;= 2083  Btu/hr /pan Idle Rate</v>
      </c>
      <c r="D49" s="1"/>
      <c r="E49" s="114" t="s">
        <v>91</v>
      </c>
      <c r="F49" s="114" t="s">
        <v>92</v>
      </c>
      <c r="G49" s="114" t="s">
        <v>93</v>
      </c>
      <c r="H49" s="120">
        <v>0</v>
      </c>
      <c r="I49" s="178">
        <v>0</v>
      </c>
      <c r="J49" s="120">
        <v>912</v>
      </c>
      <c r="K49" s="117" t="s">
        <v>47</v>
      </c>
      <c r="L49" s="119">
        <f>IF(INDEX('Com Measure Mapping'!U:U,MATCH($C49,'Com Measure Mapping'!B:B,0))="N/A",J49,INDEX('Com Measure Mapping'!U:U,MATCH($C49,'Com Measure Mapping'!B:B,0)))</f>
        <v>1022.5078302717453</v>
      </c>
      <c r="M49" s="119" t="str">
        <f>INDEX('Com Measure Mapping'!V:V,MATCH($C49,'Com Measure Mapping'!B:B,0))</f>
        <v>1 unit</v>
      </c>
      <c r="N49" s="120">
        <v>0</v>
      </c>
      <c r="O49" s="120">
        <f>H49</f>
        <v>0</v>
      </c>
      <c r="P49" s="120">
        <f>$P$72*I49</f>
        <v>0</v>
      </c>
      <c r="Q49" s="126">
        <v>3200</v>
      </c>
      <c r="R49" s="131">
        <f>IF(INDEX('Com Measure Mapping'!W:W,MATCH($C49,'Com Measure Mapping'!B:B,0))="N/A",Q49,INDEX('Com Measure Mapping'!W:W,MATCH($C49,'Com Measure Mapping'!B:B,0)))</f>
        <v>1107.3099999999997</v>
      </c>
      <c r="S49" s="126">
        <v>0</v>
      </c>
      <c r="T49" s="126">
        <f>IFERROR(IF($D$2="Original",O49*Q49,O49*S49),0)</f>
        <v>0</v>
      </c>
      <c r="U49" s="126">
        <v>0</v>
      </c>
      <c r="V49" s="126">
        <f>IFERROR(IF($D$2="Original",PV($F$76,$X49,(-0.05*0.9*$J49)),PV($F$76,$Z49,(-0.05*0.9*$N49))),0)</f>
        <v>0</v>
      </c>
      <c r="W49" s="126">
        <f>IFERROR(IF($D$2="Original",MAX(0,O49*(Q49-U49-V49)),MAX(0,O49*(S49-U49-V49))),0)</f>
        <v>0</v>
      </c>
      <c r="X49" s="117">
        <v>12</v>
      </c>
      <c r="Y49" s="128">
        <f>IF(INDEX('Com Measure Mapping'!X:X,MATCH($C49,'Com Measure Mapping'!B:B,0))="N/A",X49,INDEX('Com Measure Mapping'!X:X,MATCH($C49,'Com Measure Mapping'!B:B,0)))</f>
        <v>12</v>
      </c>
      <c r="Z49" s="120">
        <v>0</v>
      </c>
      <c r="AA49" s="120">
        <f>IFERROR(IF($D$2="Original",PV($F$76,X49,-P49),PV($F$76,Z49,-P49)),0)</f>
        <v>0</v>
      </c>
      <c r="AB49" s="126">
        <f>I49*$AB$72</f>
        <v>0</v>
      </c>
      <c r="AC49" s="126">
        <v>1200</v>
      </c>
      <c r="AD49" s="131">
        <f>IF(INDEX('Com Measure Mapping'!Y:Y,MATCH($C49,'Com Measure Mapping'!B:B,0))="N/A",AC49,INDEX('Com Measure Mapping'!Y:Y,MATCH($C49,'Com Measure Mapping'!B:B,0)))</f>
        <v>943.10029559118243</v>
      </c>
      <c r="AE49" s="119" t="str">
        <f>INDEX('Com Measure Mapping'!V:V,MATCH($C49,'Com Measure Mapping'!B:B,0))</f>
        <v>1 unit</v>
      </c>
      <c r="AF49" s="126">
        <v>0</v>
      </c>
      <c r="AG49" s="126">
        <f>IFERROR(IF($D$2="Original",H49*AC49,H49*AF49),0)</f>
        <v>0</v>
      </c>
      <c r="AH49" s="133">
        <f>IF(ISERROR(AG49/AA49),0,AG49/AA49)</f>
        <v>0</v>
      </c>
      <c r="AI49" s="133">
        <f>IF(AA49=0,0,(AG49+AB49)/AA49)</f>
        <v>0</v>
      </c>
      <c r="AJ49" s="122" t="str">
        <f>IFERROR(IF($D$2="Original",IF($AG49=0,"-",(VLOOKUP($X49,AC,7)*$P49)/($AG49+$AB49)),IF($AG49=0,"-",(VLOOKUP($Z49,AC,7)*$P49)/($AG49+$AB49))),0)</f>
        <v>-</v>
      </c>
      <c r="AK49" s="76"/>
      <c r="AL49" s="133">
        <f>IF(ISERROR(W49/AA49),0,W49/AA49)</f>
        <v>0</v>
      </c>
      <c r="AM49" s="133">
        <f>IF(AA49=0,0,(W49+AB49)/AA49)</f>
        <v>0</v>
      </c>
      <c r="AN49" s="122" t="str">
        <f>IFERROR(IF($D$2="Original",IF($W49=0,"-",(VLOOKUP($X49,AC,5)*$P49)/(W49+AB49)),IF($W49=0,"-",(VLOOKUP($Z49,AC,5)*$P49)/(W49+AB49))),0)</f>
        <v>-</v>
      </c>
    </row>
    <row r="50" spans="2:40" s="3" customFormat="1" ht="13.5" thickBot="1" x14ac:dyDescent="0.25">
      <c r="B50" s="164">
        <v>28</v>
      </c>
      <c r="C50" s="165" t="str">
        <f>E50&amp;"_"&amp;F50&amp;"_"&amp;G50</f>
        <v>Tankless Water Heater_Energy Star_Minimum .87 Energy Factor</v>
      </c>
      <c r="D50" s="1"/>
      <c r="E50" s="113" t="s">
        <v>105</v>
      </c>
      <c r="F50" s="113" t="s">
        <v>15</v>
      </c>
      <c r="G50" s="113" t="s">
        <v>111</v>
      </c>
      <c r="H50" s="118">
        <f>P50/N50</f>
        <v>641.71175100607309</v>
      </c>
      <c r="I50" s="177">
        <v>2.5821513370856124E-2</v>
      </c>
      <c r="J50" s="118">
        <v>22</v>
      </c>
      <c r="K50" s="116" t="s">
        <v>106</v>
      </c>
      <c r="L50" s="147">
        <f>IF(INDEX('Com Measure Mapping'!U:U,MATCH($C50,'Com Measure Mapping'!B:B,0))="N/A",J50,INDEX('Com Measure Mapping'!U:U,MATCH($C50,'Com Measure Mapping'!B:B,0)))</f>
        <v>21.642595007568275</v>
      </c>
      <c r="M50" s="147" t="str">
        <f>INDEX('Com Measure Mapping'!V:V,MATCH($C50,'Com Measure Mapping'!B:B,0))</f>
        <v>gpm</v>
      </c>
      <c r="N50" s="118">
        <f>L50</f>
        <v>21.642595007568275</v>
      </c>
      <c r="O50" s="118">
        <f>H50</f>
        <v>641.71175100607309</v>
      </c>
      <c r="P50" s="118">
        <f>$P$72*I50</f>
        <v>13888.307538621933</v>
      </c>
      <c r="Q50" s="125">
        <v>137.9</v>
      </c>
      <c r="R50" s="145">
        <f>IF(INDEX('Com Measure Mapping'!W:W,MATCH($C50,'Com Measure Mapping'!B:B,0))="N/A",Q50,INDEX('Com Measure Mapping'!W:W,MATCH($C50,'Com Measure Mapping'!B:B,0)))</f>
        <v>27.008310440738232</v>
      </c>
      <c r="S50" s="125">
        <f>Q50</f>
        <v>137.9</v>
      </c>
      <c r="T50" s="125">
        <f>IFERROR(IF($D$2="Original",O50*Q50,O50*S50),0)</f>
        <v>88492.050463737483</v>
      </c>
      <c r="U50" s="125">
        <v>0</v>
      </c>
      <c r="V50" s="125">
        <f>IFERROR(IF($D$2="Original",PV($F$76,$X50,(-0.05*0.9*$J50)),PV($F$76,$Z50,(-0.05*0.9*$N50))),0)</f>
        <v>8.1406606756722564</v>
      </c>
      <c r="W50" s="125">
        <f>IFERROR(IF($D$2="Original",MAX(0,O50*(Q50-U50-V50)),MAX(0,O50*(S50-U50-V50))),0)</f>
        <v>83268.092847205553</v>
      </c>
      <c r="X50" s="116">
        <v>18</v>
      </c>
      <c r="Y50" s="146">
        <f>IF(INDEX('Com Measure Mapping'!X:X,MATCH($C50,'Com Measure Mapping'!B:B,0))="N/A",X50,INDEX('Com Measure Mapping'!X:X,MATCH($C50,'Com Measure Mapping'!B:B,0)))</f>
        <v>10</v>
      </c>
      <c r="Z50" s="118">
        <f>Y50</f>
        <v>10</v>
      </c>
      <c r="AA50" s="118">
        <f>IFERROR(IF($D$2="Original",PV($F$76,X50,-P50),PV($F$76,Z50,-P50)),0)</f>
        <v>116087.94703404277</v>
      </c>
      <c r="AB50" s="125">
        <f>I50*$AB$72</f>
        <v>44525.30075952239</v>
      </c>
      <c r="AC50" s="125">
        <v>120</v>
      </c>
      <c r="AD50" s="145">
        <f>IF(INDEX('Com Measure Mapping'!Y:Y,MATCH($C50,'Com Measure Mapping'!B:B,0))="N/A",AC50,INDEX('Com Measure Mapping'!Y:Y,MATCH($C50,'Com Measure Mapping'!B:B,0)))</f>
        <v>24.477313194186394</v>
      </c>
      <c r="AE50" s="147" t="str">
        <f>INDEX('Com Measure Mapping'!V:V,MATCH($C50,'Com Measure Mapping'!B:B,0))</f>
        <v>gpm</v>
      </c>
      <c r="AF50" s="125">
        <f>AC50</f>
        <v>120</v>
      </c>
      <c r="AG50" s="125">
        <f>IFERROR(IF($D$2="Original",H50*AC50,H50*AF50),0)</f>
        <v>77005.410120728775</v>
      </c>
      <c r="AH50" s="132">
        <f>IF(ISERROR(AG50/AA50),0,AG50/AA50)</f>
        <v>0.66333682426261664</v>
      </c>
      <c r="AI50" s="132">
        <f>IF(AA50=0,0,(AG50+AB50)/AA50)</f>
        <v>1.0468848315890391</v>
      </c>
      <c r="AJ50" s="121">
        <f>IFERROR(IF($D$2="Original",IF($AG50=0,"-",(VLOOKUP($X50,AC,7)*$P50)/($AG50+$AB50)),IF($AG50=0,"-",(VLOOKUP($Z50,AC,7)*$P50)/($AG50+$AB50))),0)</f>
        <v>1.116365302743614</v>
      </c>
      <c r="AK50" s="76"/>
      <c r="AL50" s="132">
        <f>IF(ISERROR(W50/AA50),0,W50/AA50)</f>
        <v>0.71728456721512357</v>
      </c>
      <c r="AM50" s="132">
        <f>IF(AA50=0,0,(W50+AB50)/AA50)</f>
        <v>1.1008325745415461</v>
      </c>
      <c r="AN50" s="121">
        <f>IFERROR(IF($D$2="Original",IF($W50=0,"-",(VLOOKUP($X50,AC,5)*$P50)/(W50+AB50)),IF($W50=0,"-",(VLOOKUP($Z50,AC,5)*$P50)/(W50+AB50))),0)</f>
        <v>0.96514214371816431</v>
      </c>
    </row>
    <row r="51" spans="2:40" s="3" customFormat="1" ht="33" customHeight="1" thickBot="1" x14ac:dyDescent="0.25">
      <c r="B51" s="166" t="s">
        <v>436</v>
      </c>
      <c r="C51" s="165" t="str">
        <f>E51&amp;"_"&amp;F51&amp;"_"&amp;G51</f>
        <v>Tankless Water Heater - Tier 2_Energy Star_Minimum .93 Energy Factor</v>
      </c>
      <c r="D51" s="1"/>
      <c r="E51" s="114" t="s">
        <v>113</v>
      </c>
      <c r="F51" s="114" t="s">
        <v>15</v>
      </c>
      <c r="G51" s="114" t="s">
        <v>114</v>
      </c>
      <c r="H51" s="120">
        <f>P51/N51</f>
        <v>369.09644419754858</v>
      </c>
      <c r="I51" s="178">
        <v>2.5821513370856124E-2</v>
      </c>
      <c r="J51" s="120">
        <v>38</v>
      </c>
      <c r="K51" s="117" t="s">
        <v>106</v>
      </c>
      <c r="L51" s="119">
        <f>IF(INDEX('Com Measure Mapping'!U:U,MATCH($C51,'Com Measure Mapping'!B:B,0))="N/A",J51,INDEX('Com Measure Mapping'!U:U,MATCH($C51,'Com Measure Mapping'!B:B,0)))</f>
        <v>37.62785514993638</v>
      </c>
      <c r="M51" s="119" t="str">
        <f>INDEX('Com Measure Mapping'!V:V,MATCH($C51,'Com Measure Mapping'!B:B,0))</f>
        <v>gpm</v>
      </c>
      <c r="N51" s="120">
        <f>L51</f>
        <v>37.62785514993638</v>
      </c>
      <c r="O51" s="120">
        <f>H51</f>
        <v>369.09644419754858</v>
      </c>
      <c r="P51" s="120">
        <f>$P$72*I51</f>
        <v>13888.307538621933</v>
      </c>
      <c r="Q51" s="126">
        <v>52.8</v>
      </c>
      <c r="R51" s="131">
        <f>IF(INDEX('Com Measure Mapping'!W:W,MATCH($C51,'Com Measure Mapping'!B:B,0))="N/A",Q51,INDEX('Com Measure Mapping'!W:W,MATCH($C51,'Com Measure Mapping'!B:B,0)))</f>
        <v>54.368520691779096</v>
      </c>
      <c r="S51" s="126">
        <f>Q51</f>
        <v>52.8</v>
      </c>
      <c r="T51" s="126">
        <f>IFERROR(IF($D$2="Original",O51*Q51,O51*S51),0)</f>
        <v>19488.292253630563</v>
      </c>
      <c r="U51" s="126">
        <v>0</v>
      </c>
      <c r="V51" s="126">
        <f>IFERROR(IF($D$2="Original",PV($F$76,$X51,(-0.05*0.9*$J51)),PV($F$76,$Z51,(-0.05*0.9*$N51))),0)</f>
        <v>14.153367496913484</v>
      </c>
      <c r="W51" s="126">
        <f>IFERROR(IF($D$2="Original",MAX(0,O51*(Q51-U51-V51)),MAX(0,O51*(S51-U51-V51))),0)</f>
        <v>14264.334637098638</v>
      </c>
      <c r="X51" s="117">
        <v>20</v>
      </c>
      <c r="Y51" s="128">
        <f>IF(INDEX('Com Measure Mapping'!X:X,MATCH($C51,'Com Measure Mapping'!B:B,0))="N/A",X51,INDEX('Com Measure Mapping'!X:X,MATCH($C51,'Com Measure Mapping'!B:B,0)))</f>
        <v>10</v>
      </c>
      <c r="Z51" s="120">
        <f>Y51</f>
        <v>10</v>
      </c>
      <c r="AA51" s="120">
        <f>IFERROR(IF($D$2="Original",PV($F$76,X51,-P51),PV($F$76,Z51,-P51)),0)</f>
        <v>116087.94703404277</v>
      </c>
      <c r="AB51" s="126">
        <f>I51*$AB$72</f>
        <v>44525.30075952239</v>
      </c>
      <c r="AC51" s="126">
        <v>150</v>
      </c>
      <c r="AD51" s="131">
        <f>IF(INDEX('Com Measure Mapping'!Y:Y,MATCH($C51,'Com Measure Mapping'!B:B,0))="N/A",AC51,INDEX('Com Measure Mapping'!Y:Y,MATCH($C51,'Com Measure Mapping'!B:B,0)))</f>
        <v>45.457867360631909</v>
      </c>
      <c r="AE51" s="119" t="str">
        <f>INDEX('Com Measure Mapping'!V:V,MATCH($C51,'Com Measure Mapping'!B:B,0))</f>
        <v>gpm</v>
      </c>
      <c r="AF51" s="126">
        <f>AC51</f>
        <v>150</v>
      </c>
      <c r="AG51" s="126">
        <f>IFERROR(IF($D$2="Original",H51*AC51,H51*AF51),0)</f>
        <v>55364.46662963229</v>
      </c>
      <c r="AH51" s="133">
        <f>IF(ISERROR(AG51/AA51),0,AG51/AA51)</f>
        <v>0.47691830240909222</v>
      </c>
      <c r="AI51" s="133">
        <f>IF(AA51=0,0,(AG51+AB51)/AA51)</f>
        <v>0.86046630973551474</v>
      </c>
      <c r="AJ51" s="122">
        <f>IFERROR(IF($D$2="Original",IF($AG51=0,"-",(VLOOKUP($X51,AC,7)*$P51)/($AG51+$AB51)),IF($AG51=0,"-",(VLOOKUP($Z51,AC,7)*$P51)/($AG51+$AB51))),0)</f>
        <v>1.3582238941043783</v>
      </c>
      <c r="AK51" s="76"/>
      <c r="AL51" s="133">
        <f>IF(ISERROR(W51/AA51),0,W51/AA51)</f>
        <v>0.12287524244800044</v>
      </c>
      <c r="AM51" s="133">
        <f>IF(AA51=0,0,(W51+AB51)/AA51)</f>
        <v>0.50642324977442299</v>
      </c>
      <c r="AN51" s="122">
        <f>IFERROR(IF($D$2="Original",IF($W51=0,"-",(VLOOKUP($X51,AC,5)*$P51)/(W51+AB51)),IF($W51=0,"-",(VLOOKUP($Z51,AC,5)*$P51)/(W51+AB51))),0)</f>
        <v>2.0979682732597031</v>
      </c>
    </row>
    <row r="52" spans="2:40" s="3" customFormat="1" ht="13.5" thickBot="1" x14ac:dyDescent="0.25">
      <c r="B52" s="3">
        <v>29</v>
      </c>
      <c r="C52" s="104" t="str">
        <f>E52&amp;"_"&amp;F52&amp;"_"&amp;G52</f>
        <v>Warm-Air Furnace_High-Efficiency Condensing Furnace_Minimum  91% AFUE</v>
      </c>
      <c r="D52" s="1"/>
      <c r="E52" s="113" t="s">
        <v>107</v>
      </c>
      <c r="F52" s="113" t="s">
        <v>108</v>
      </c>
      <c r="G52" s="113" t="s">
        <v>109</v>
      </c>
      <c r="H52" s="118">
        <f>P52/N52</f>
        <v>13812.629611150944</v>
      </c>
      <c r="I52" s="177">
        <v>1.5079303267372283E-2</v>
      </c>
      <c r="J52" s="118">
        <v>1.1000000000000001</v>
      </c>
      <c r="K52" s="116" t="s">
        <v>102</v>
      </c>
      <c r="L52" s="147">
        <f>IF(INDEX('Com Measure Mapping'!U:U,MATCH($C52,'Com Measure Mapping'!B:B,0))="N/A",J52,INDEX('Com Measure Mapping'!U:U,MATCH($C52,'Com Measure Mapping'!B:B,0)))</f>
        <v>0.58718174055971872</v>
      </c>
      <c r="M52" s="147" t="str">
        <f>INDEX('Com Measure Mapping'!V:V,MATCH($C52,'Com Measure Mapping'!B:B,0))</f>
        <v>kBtu/hr</v>
      </c>
      <c r="N52" s="118">
        <f>L52</f>
        <v>0.58718174055971872</v>
      </c>
      <c r="O52" s="118">
        <f>H52</f>
        <v>13812.629611150944</v>
      </c>
      <c r="P52" s="118">
        <f>$P$72*I52</f>
        <v>8110.5238967823216</v>
      </c>
      <c r="Q52" s="125">
        <v>6.72</v>
      </c>
      <c r="R52" s="145">
        <f>IF(INDEX('Com Measure Mapping'!W:W,MATCH($C52,'Com Measure Mapping'!B:B,0))="N/A",Q52,INDEX('Com Measure Mapping'!W:W,MATCH($C52,'Com Measure Mapping'!B:B,0)))</f>
        <v>3.1362069444444454</v>
      </c>
      <c r="S52" s="125">
        <f>Q52</f>
        <v>6.72</v>
      </c>
      <c r="T52" s="125">
        <f>IFERROR(IF($D$2="Original",O52*Q52,O52*S52),0)</f>
        <v>92820.870986934344</v>
      </c>
      <c r="U52" s="125">
        <v>0</v>
      </c>
      <c r="V52" s="125">
        <f>IFERROR(IF($D$2="Original",PV($F$76,$X52,(-0.05*0.9*$J52)),PV($F$76,$Z52,(-0.05*0.9*$N52))),0)</f>
        <v>0.41696056532583686</v>
      </c>
      <c r="W52" s="125">
        <f>IFERROR(IF($D$2="Original",MAX(0,O52*(Q52-U52-V52)),MAX(0,O52*(S52-U52-V52))),0)</f>
        <v>87061.549135632435</v>
      </c>
      <c r="X52" s="116">
        <v>18</v>
      </c>
      <c r="Y52" s="146">
        <f>IF(INDEX('Com Measure Mapping'!X:X,MATCH($C52,'Com Measure Mapping'!B:B,0))="N/A",X52,INDEX('Com Measure Mapping'!X:X,MATCH($C52,'Com Measure Mapping'!B:B,0)))</f>
        <v>23</v>
      </c>
      <c r="Z52" s="118">
        <f>Y52</f>
        <v>23</v>
      </c>
      <c r="AA52" s="118">
        <f>IFERROR(IF($D$2="Original",PV($F$76,X52,-P52),PV($F$76,Z52,-P52)),0)</f>
        <v>127984.9300289309</v>
      </c>
      <c r="AB52" s="125">
        <f>I52*$AB$72</f>
        <v>26001.98150979013</v>
      </c>
      <c r="AC52" s="125">
        <v>5</v>
      </c>
      <c r="AD52" s="145">
        <f>IF(INDEX('Com Measure Mapping'!Y:Y,MATCH($C52,'Com Measure Mapping'!B:B,0))="N/A",AC52,INDEX('Com Measure Mapping'!Y:Y,MATCH($C52,'Com Measure Mapping'!B:B,0)))</f>
        <v>0.63229916729670732</v>
      </c>
      <c r="AE52" s="147" t="str">
        <f>INDEX('Com Measure Mapping'!V:V,MATCH($C52,'Com Measure Mapping'!B:B,0))</f>
        <v>kBtu/hr</v>
      </c>
      <c r="AF52" s="125">
        <f>AC52</f>
        <v>5</v>
      </c>
      <c r="AG52" s="125">
        <f>IFERROR(IF($D$2="Original",H52*AC52,H52*AF52),0)</f>
        <v>69063.148055754718</v>
      </c>
      <c r="AH52" s="132">
        <f>IF(ISERROR(AG52/AA52),0,AG52/AA52)</f>
        <v>0.53961937581356678</v>
      </c>
      <c r="AI52" s="132">
        <f>IF(AA52=0,0,(AG52+AB52)/AA52)</f>
        <v>0.74278377574653076</v>
      </c>
      <c r="AJ52" s="121">
        <f>IFERROR(IF($D$2="Original",IF($AG52=0,"-",(VLOOKUP($X52,AC,7)*$P52)/($AG52+$AB52)),IF($AG52=0,"-",(VLOOKUP($Z52,AC,7)*$P52)/($AG52+$AB52))),0)</f>
        <v>2.130669786744035</v>
      </c>
      <c r="AK52" s="76"/>
      <c r="AL52" s="132">
        <f>IF(ISERROR(W52/AA52),0,W52/AA52)</f>
        <v>0.68024844109343363</v>
      </c>
      <c r="AM52" s="132">
        <f>IF(AA52=0,0,(W52+AB52)/AA52)</f>
        <v>0.88341284102639761</v>
      </c>
      <c r="AN52" s="121">
        <f>IFERROR(IF($D$2="Original",IF($W52=0,"-",(VLOOKUP($X52,AC,5)*$P52)/(W52+AB52)),IF($W52=0,"-",(VLOOKUP($Z52,AC,5)*$P52)/(W52+AB52))),0)</f>
        <v>1.6286290000123596</v>
      </c>
    </row>
    <row r="53" spans="2:40" s="3" customFormat="1" ht="26.25" thickBot="1" x14ac:dyDescent="0.25">
      <c r="B53" s="3">
        <v>30</v>
      </c>
      <c r="C53" s="104" t="str">
        <f>E53&amp;"_"&amp;F53&amp;"_"&amp;G53</f>
        <v>Windows_Single pane to .3 or less (not LoadMAP's .50 to .22) per sq ft_0.3 or less U</v>
      </c>
      <c r="D53" s="1"/>
      <c r="E53" s="114" t="s">
        <v>132</v>
      </c>
      <c r="F53" s="114" t="s">
        <v>444</v>
      </c>
      <c r="G53" s="114" t="s">
        <v>445</v>
      </c>
      <c r="H53" s="120">
        <f>P53/N53</f>
        <v>8185.3745737983827</v>
      </c>
      <c r="I53" s="178">
        <v>7.421957607572369E-3</v>
      </c>
      <c r="J53" s="120">
        <v>1.1000000000000001</v>
      </c>
      <c r="K53" s="117" t="s">
        <v>127</v>
      </c>
      <c r="L53" s="119">
        <f>IF(INDEX('Com Measure Mapping'!U:U,MATCH($C53,'Com Measure Mapping'!B:B,0))="N/A",J53,INDEX('Com Measure Mapping'!U:U,MATCH($C53,'Com Measure Mapping'!B:B,0)))</f>
        <v>0.48769414751916607</v>
      </c>
      <c r="M53" s="119" t="str">
        <f>INDEX('Com Measure Mapping'!V:V,MATCH($C53,'Com Measure Mapping'!B:B,0))</f>
        <v>sqft window</v>
      </c>
      <c r="N53" s="120">
        <f>L53</f>
        <v>0.48769414751916607</v>
      </c>
      <c r="O53" s="120">
        <f>H53</f>
        <v>8185.3745737983827</v>
      </c>
      <c r="P53" s="120">
        <f>$P$72*I53</f>
        <v>3991.9592748936593</v>
      </c>
      <c r="Q53" s="126">
        <v>24.31</v>
      </c>
      <c r="R53" s="131">
        <f>IF(INDEX('Com Measure Mapping'!W:W,MATCH($C53,'Com Measure Mapping'!B:B,0))="N/A",Q53,INDEX('Com Measure Mapping'!W:W,MATCH($C53,'Com Measure Mapping'!B:B,0)))</f>
        <v>24.150000000000002</v>
      </c>
      <c r="S53" s="126">
        <f>Q53</f>
        <v>24.31</v>
      </c>
      <c r="T53" s="126">
        <f>IFERROR(IF($D$2="Original",O53*Q53,O53*S53),0)</f>
        <v>198986.45588903868</v>
      </c>
      <c r="U53" s="126">
        <v>0</v>
      </c>
      <c r="V53" s="126">
        <f>IFERROR(IF($D$2="Original",PV($F$76,$X53,(-0.05*0.9*$J53)),PV($F$76,$Z53,(-0.05*0.9*$N53))),0)</f>
        <v>0.50210800661289701</v>
      </c>
      <c r="W53" s="126">
        <f>IFERROR(IF($D$2="Original",MAX(0,O53*(Q53-U53-V53)),MAX(0,O53*(S53-U53-V53))),0)</f>
        <v>194876.51377840887</v>
      </c>
      <c r="X53" s="117">
        <v>45</v>
      </c>
      <c r="Y53" s="128">
        <f>IF(INDEX('Com Measure Mapping'!X:X,MATCH($C53,'Com Measure Mapping'!B:B,0))="N/A",X53,INDEX('Com Measure Mapping'!X:X,MATCH($C53,'Com Measure Mapping'!B:B,0)))</f>
        <v>45</v>
      </c>
      <c r="Z53" s="120">
        <f>Y53</f>
        <v>45</v>
      </c>
      <c r="AA53" s="120">
        <f>IFERROR(IF($D$2="Original",PV($F$76,X53,-P53),PV($F$76,Z53,-P53)),0)</f>
        <v>91332.04690288438</v>
      </c>
      <c r="AB53" s="126">
        <f>I53*$AB$72</f>
        <v>12798.045178659808</v>
      </c>
      <c r="AC53" s="126">
        <v>5</v>
      </c>
      <c r="AD53" s="131">
        <f>IF(INDEX('Com Measure Mapping'!Y:Y,MATCH($C53,'Com Measure Mapping'!B:B,0))="N/A",AC53,INDEX('Com Measure Mapping'!Y:Y,MATCH($C53,'Com Measure Mapping'!B:B,0)))</f>
        <v>4.9999930262760257</v>
      </c>
      <c r="AE53" s="119" t="str">
        <f>INDEX('Com Measure Mapping'!V:V,MATCH($C53,'Com Measure Mapping'!B:B,0))</f>
        <v>sqft window</v>
      </c>
      <c r="AF53" s="126">
        <f>AC53*1.5</f>
        <v>7.5</v>
      </c>
      <c r="AG53" s="126">
        <f>IFERROR(IF($D$2="Original",H53*AC53,H53*AF53),0)</f>
        <v>61390.309303487869</v>
      </c>
      <c r="AH53" s="133">
        <f>IF(ISERROR(AG53/AA53),0,AG53/AA53)</f>
        <v>0.67216613866943875</v>
      </c>
      <c r="AI53" s="133">
        <f>IF(AA53=0,0,(AG53+AB53)/AA53)</f>
        <v>0.81229269460076803</v>
      </c>
      <c r="AJ53" s="122">
        <f>IFERROR(IF($D$2="Original",IF($AG53=0,"-",(VLOOKUP($X53,AC,7)*$P53)/($AG53+$AB53)),IF($AG53=0,"-",(VLOOKUP($Z53,AC,7)*$P53)/($AG53+$AB53))),0)</f>
        <v>3.2966615628159146</v>
      </c>
      <c r="AK53" s="76"/>
      <c r="AL53" s="133">
        <f>IF(ISERROR(W53/AA53),0,W53/AA53)</f>
        <v>2.1337145108072075</v>
      </c>
      <c r="AM53" s="133">
        <f>IF(AA53=0,0,(W53+AB53)/AA53)</f>
        <v>2.2738410667385369</v>
      </c>
      <c r="AN53" s="122">
        <f>IFERROR(IF($D$2="Original",IF($W53=0,"-",(VLOOKUP($X53,AC,5)*$P53)/(W53+AB53)),IF($W53=0,"-",(VLOOKUP($Z53,AC,5)*$P53)/(W53+AB53))),0)</f>
        <v>1.0706169650424375</v>
      </c>
    </row>
    <row r="54" spans="2:40" s="3" customFormat="1" ht="13.5" thickBot="1" x14ac:dyDescent="0.25">
      <c r="B54" s="163" t="s">
        <v>409</v>
      </c>
      <c r="C54" s="104" t="str">
        <f>E54&amp;"_"&amp;F54&amp;"_"&amp;G54</f>
        <v>Windows_U-.22 or less_U-.22 or less</v>
      </c>
      <c r="D54" s="1"/>
      <c r="E54" s="113" t="s">
        <v>132</v>
      </c>
      <c r="F54" s="113" t="s">
        <v>438</v>
      </c>
      <c r="G54" s="113" t="s">
        <v>438</v>
      </c>
      <c r="H54" s="118">
        <f>P54/N54</f>
        <v>4980.1666666666661</v>
      </c>
      <c r="I54" s="177">
        <v>5.0000000000000001E-3</v>
      </c>
      <c r="J54" s="118" t="s">
        <v>250</v>
      </c>
      <c r="K54" s="116" t="s">
        <v>127</v>
      </c>
      <c r="L54" s="147">
        <f>IF(INDEX('Com Measure Mapping'!U:U,MATCH($C54,'Com Measure Mapping'!B:B,0))="N/A",J54,INDEX('Com Measure Mapping'!U:U,MATCH($C54,'Com Measure Mapping'!B:B,0)))</f>
        <v>0.54</v>
      </c>
      <c r="M54" s="147" t="str">
        <f>INDEX('Com Measure Mapping'!V:V,MATCH($C54,'Com Measure Mapping'!B:B,0))</f>
        <v>N/A</v>
      </c>
      <c r="N54" s="118">
        <f>L54</f>
        <v>0.54</v>
      </c>
      <c r="O54" s="118">
        <f>H54</f>
        <v>4980.1666666666661</v>
      </c>
      <c r="P54" s="118">
        <f>$P$72*I54</f>
        <v>2689.29</v>
      </c>
      <c r="Q54" s="125" t="s">
        <v>250</v>
      </c>
      <c r="R54" s="145">
        <f>IF(INDEX('Com Measure Mapping'!W:W,MATCH($C54,'Com Measure Mapping'!B:B,0))="N/A",Q54,INDEX('Com Measure Mapping'!W:W,MATCH($C54,'Com Measure Mapping'!B:B,0)))</f>
        <v>26.23</v>
      </c>
      <c r="S54" s="125">
        <f>R54</f>
        <v>26.23</v>
      </c>
      <c r="T54" s="125">
        <f>IFERROR(IF($D$2="Original",O54*Q54,O54*S54),0)</f>
        <v>130629.77166666665</v>
      </c>
      <c r="U54" s="125">
        <v>0</v>
      </c>
      <c r="V54" s="125">
        <f>IFERROR(IF($D$2="Original",PV($F$76,$X54,(-0.05*0.9*$J54)),PV($F$76,$Z54,(-0.05*0.9*$N54))),0)</f>
        <v>0.55595976484484844</v>
      </c>
      <c r="W54" s="125">
        <f>IFERROR(IF($D$2="Original",MAX(0,O54*(Q54-U54-V54)),MAX(0,O54*(S54-U54-V54))),0)</f>
        <v>127860.99937777851</v>
      </c>
      <c r="X54" s="116" t="s">
        <v>250</v>
      </c>
      <c r="Y54" s="146">
        <f>IF(INDEX('Com Measure Mapping'!X:X,MATCH($C54,'Com Measure Mapping'!B:B,0))="N/A",X54,INDEX('Com Measure Mapping'!X:X,MATCH($C54,'Com Measure Mapping'!B:B,0)))</f>
        <v>45</v>
      </c>
      <c r="Z54" s="118">
        <f>Y54</f>
        <v>45</v>
      </c>
      <c r="AA54" s="118">
        <f>IFERROR(IF($D$2="Original",PV($F$76,X54,-P54),PV($F$76,Z54,-P54)),0)</f>
        <v>61528.27308640338</v>
      </c>
      <c r="AB54" s="125">
        <f>I54*$AB$72</f>
        <v>8621.7450000000008</v>
      </c>
      <c r="AC54" s="125" t="s">
        <v>250</v>
      </c>
      <c r="AD54" s="145">
        <f>IF(INDEX('Com Measure Mapping'!Y:Y,MATCH($C54,'Com Measure Mapping'!B:B,0))="N/A",AC54,INDEX('Com Measure Mapping'!Y:Y,MATCH($C54,'Com Measure Mapping'!B:B,0)))</f>
        <v>4.9999930262760257</v>
      </c>
      <c r="AE54" s="147" t="str">
        <f>INDEX('Com Measure Mapping'!V:V,MATCH($C54,'Com Measure Mapping'!B:B,0))</f>
        <v>N/A</v>
      </c>
      <c r="AF54" s="125">
        <v>9</v>
      </c>
      <c r="AG54" s="125">
        <f>IFERROR(IF($D$2="Original",H54*AC54,H54*AF54),0)</f>
        <v>44821.499999999993</v>
      </c>
      <c r="AH54" s="132">
        <f>IF(ISERROR(AG54/AA54),0,AG54/AA54)</f>
        <v>0.72846998219920334</v>
      </c>
      <c r="AI54" s="132">
        <f>IF(AA54=0,0,(AG54+AB54)/AA54)</f>
        <v>0.86859653813053261</v>
      </c>
      <c r="AJ54" s="121">
        <f>IFERROR(IF($D$2="Original",IF($AG54=0,"-",(VLOOKUP($X54,AC,7)*$P54)/($AG54+$AB54)),IF($AG54=0,"-",(VLOOKUP($Z54,AC,7)*$P54)/($AG54+$AB54))),0)</f>
        <v>3.0829665863163864</v>
      </c>
      <c r="AK54" s="76"/>
      <c r="AL54" s="132">
        <f>IF(ISERROR(W54/AA54),0,W54/AA54)</f>
        <v>2.078085292565012</v>
      </c>
      <c r="AM54" s="132">
        <f>IF(AA54=0,0,(W54+AB54)/AA54)</f>
        <v>2.2182118484963413</v>
      </c>
      <c r="AN54" s="121">
        <f>IFERROR(IF($D$2="Original",IF($W54=0,"-",(VLOOKUP($X54,AC,5)*$P54)/(W54+AB54)),IF($W54=0,"-",(VLOOKUP($Z54,AC,5)*$P54)/(W54+AB54))),0)</f>
        <v>1.0974663324022393</v>
      </c>
    </row>
    <row r="55" spans="2:40" ht="13.5" thickBot="1" x14ac:dyDescent="0.25">
      <c r="B55" s="1">
        <v>7</v>
      </c>
      <c r="C55" s="104" t="str">
        <f>E55&amp;"_"&amp;F55&amp;"_"&amp;G55</f>
        <v>Bonus - Insulation Bundle A_Insulation Bundle A_Two Insulation Measures, min. 1000 sq. ft.+</v>
      </c>
      <c r="E55" s="114" t="s">
        <v>63</v>
      </c>
      <c r="F55" s="114" t="s">
        <v>64</v>
      </c>
      <c r="G55" s="114" t="s">
        <v>65</v>
      </c>
      <c r="H55" s="120">
        <v>6</v>
      </c>
      <c r="I55" s="178">
        <v>0</v>
      </c>
      <c r="J55" s="120">
        <v>0</v>
      </c>
      <c r="K55" s="117" t="s">
        <v>47</v>
      </c>
      <c r="L55" s="119" t="s">
        <v>250</v>
      </c>
      <c r="M55" s="119" t="s">
        <v>250</v>
      </c>
      <c r="N55" s="120">
        <f>J55</f>
        <v>0</v>
      </c>
      <c r="O55" s="120">
        <f>H55</f>
        <v>6</v>
      </c>
      <c r="P55" s="120">
        <f>$P$72*I55</f>
        <v>0</v>
      </c>
      <c r="Q55" s="126">
        <v>0</v>
      </c>
      <c r="R55" s="131" t="s">
        <v>250</v>
      </c>
      <c r="S55" s="126">
        <f>Q55</f>
        <v>0</v>
      </c>
      <c r="T55" s="126">
        <f>IFERROR(IF($D$2="Original",O55*Q55,O55*S55),0)</f>
        <v>0</v>
      </c>
      <c r="U55" s="126">
        <v>0</v>
      </c>
      <c r="V55" s="126">
        <f>0.1*$J55+PV($F$76,$X55,(-0.05*0.9*$J55))</f>
        <v>0</v>
      </c>
      <c r="W55" s="126">
        <f>IFERROR(IF($D$2="Original",MAX(0,O55*(Q55-U55-V55)),MAX(0,O55*(S55-U55-V55))),0)</f>
        <v>0</v>
      </c>
      <c r="X55" s="117">
        <v>0</v>
      </c>
      <c r="Y55" s="128" t="s">
        <v>250</v>
      </c>
      <c r="Z55" s="120">
        <f>X55</f>
        <v>0</v>
      </c>
      <c r="AA55" s="120">
        <f>IFERROR(IF($D$2="Original",PV($F$76,X55,-P55),PV($F$76,Z55,-P55)),0)</f>
        <v>0</v>
      </c>
      <c r="AB55" s="126">
        <f>I55*$AB$72</f>
        <v>0</v>
      </c>
      <c r="AC55" s="126">
        <v>500</v>
      </c>
      <c r="AD55" s="131" t="s">
        <v>250</v>
      </c>
      <c r="AE55" s="119" t="s">
        <v>250</v>
      </c>
      <c r="AF55" s="126">
        <f>AC55</f>
        <v>500</v>
      </c>
      <c r="AG55" s="126">
        <f>IFERROR(IF($D$2="Original",H55*AC55,H55*AF55),0)</f>
        <v>3000</v>
      </c>
      <c r="AH55" s="133">
        <f>IF(ISERROR(AG55/AA55),0,AG55/AA55)</f>
        <v>0</v>
      </c>
      <c r="AI55" s="133">
        <f>IF(AA55=0,0,(AG55+AB55)/AA55)</f>
        <v>0</v>
      </c>
      <c r="AJ55" s="122" t="s">
        <v>442</v>
      </c>
      <c r="AK55" s="76"/>
      <c r="AL55" s="133">
        <f>IF(ISERROR(W55/AA55),0,W55/AA55)</f>
        <v>0</v>
      </c>
      <c r="AM55" s="133">
        <f>IF(AA55=0,0,(W55+AB55)/AA55)</f>
        <v>0</v>
      </c>
      <c r="AN55" s="122" t="str">
        <f>IF($W55=0,"-",(VLOOKUP($X55,AC,5)*$P55)/(W55+AB55))</f>
        <v>-</v>
      </c>
    </row>
    <row r="56" spans="2:40" ht="13.5" thickBot="1" x14ac:dyDescent="0.25">
      <c r="B56" s="1">
        <v>7</v>
      </c>
      <c r="C56" s="104" t="str">
        <f>E56&amp;"_"&amp;F56&amp;"_"&amp;G56</f>
        <v>Bonus - Kitchen Bundle B (2 - measures)_Foodservice Bundle B_Any 2 Kitchen equipment measures</v>
      </c>
      <c r="E56" s="113" t="s">
        <v>69</v>
      </c>
      <c r="F56" s="113" t="s">
        <v>70</v>
      </c>
      <c r="G56" s="113" t="s">
        <v>71</v>
      </c>
      <c r="H56" s="118">
        <v>0</v>
      </c>
      <c r="I56" s="177">
        <v>0</v>
      </c>
      <c r="J56" s="118">
        <v>0</v>
      </c>
      <c r="K56" s="116" t="s">
        <v>47</v>
      </c>
      <c r="L56" s="147" t="s">
        <v>250</v>
      </c>
      <c r="M56" s="147" t="s">
        <v>250</v>
      </c>
      <c r="N56" s="118">
        <f>J56</f>
        <v>0</v>
      </c>
      <c r="O56" s="118">
        <f>H56</f>
        <v>0</v>
      </c>
      <c r="P56" s="118">
        <f>$P$72*I56</f>
        <v>0</v>
      </c>
      <c r="Q56" s="125">
        <v>0</v>
      </c>
      <c r="R56" s="145" t="s">
        <v>250</v>
      </c>
      <c r="S56" s="125">
        <f>Q56</f>
        <v>0</v>
      </c>
      <c r="T56" s="125">
        <f>IFERROR(IF($D$2="Original",O56*Q56,O56*S56),0)</f>
        <v>0</v>
      </c>
      <c r="U56" s="125">
        <v>0</v>
      </c>
      <c r="V56" s="125">
        <f>0.1*$J56+PV($F$76,$X56,(-0.05*0.9*$J56))</f>
        <v>0</v>
      </c>
      <c r="W56" s="125">
        <f>IFERROR(IF($D$2="Original",MAX(0,O56*(Q56-U56-V56)),MAX(0,O56*(S56-U56-V56))),0)</f>
        <v>0</v>
      </c>
      <c r="X56" s="116">
        <v>0</v>
      </c>
      <c r="Y56" s="146" t="s">
        <v>250</v>
      </c>
      <c r="Z56" s="118">
        <f>X56</f>
        <v>0</v>
      </c>
      <c r="AA56" s="118">
        <f>IFERROR(IF($D$2="Original",PV($F$76,X56,-P56),PV($F$76,Z56,-P56)),0)</f>
        <v>0</v>
      </c>
      <c r="AB56" s="125">
        <f>I56*$AB$72</f>
        <v>0</v>
      </c>
      <c r="AC56" s="125">
        <v>150</v>
      </c>
      <c r="AD56" s="145" t="s">
        <v>250</v>
      </c>
      <c r="AE56" s="147" t="s">
        <v>250</v>
      </c>
      <c r="AF56" s="125">
        <f>AC56</f>
        <v>150</v>
      </c>
      <c r="AG56" s="125">
        <f>IFERROR(IF($D$2="Original",H56*AC56,H56*AF56),0)</f>
        <v>0</v>
      </c>
      <c r="AH56" s="132">
        <f>IF(ISERROR(AG56/AA56),0,AG56/AA56)</f>
        <v>0</v>
      </c>
      <c r="AI56" s="132">
        <f>IF(AA56=0,0,(AG56+AB56)/AA56)</f>
        <v>0</v>
      </c>
      <c r="AJ56" s="121" t="s">
        <v>442</v>
      </c>
      <c r="AK56" s="76"/>
      <c r="AL56" s="132">
        <f>IF(ISERROR(W56/AA56),0,W56/AA56)</f>
        <v>0</v>
      </c>
      <c r="AM56" s="132">
        <f>IF(AA56=0,0,(W56+AB56)/AA56)</f>
        <v>0</v>
      </c>
      <c r="AN56" s="121" t="str">
        <f>IF($W56=0,"-",(VLOOKUP($X56,AC,5)*$P56)/(W56+AB56))</f>
        <v>-</v>
      </c>
    </row>
    <row r="57" spans="2:40" ht="13.5" thickBot="1" x14ac:dyDescent="0.25">
      <c r="B57" s="1">
        <v>7</v>
      </c>
      <c r="C57" s="104" t="str">
        <f>E57&amp;"_"&amp;F57&amp;"_"&amp;G57</f>
        <v>Bonus - Kitchen Bundle B (2 - measures)_Foodservice Bundle B_Any 2 Kitchen equipment measures</v>
      </c>
      <c r="E57" s="114" t="s">
        <v>69</v>
      </c>
      <c r="F57" s="114" t="s">
        <v>70</v>
      </c>
      <c r="G57" s="114" t="s">
        <v>71</v>
      </c>
      <c r="H57" s="120">
        <v>6</v>
      </c>
      <c r="I57" s="178">
        <v>0</v>
      </c>
      <c r="J57" s="120">
        <v>0</v>
      </c>
      <c r="K57" s="117" t="s">
        <v>47</v>
      </c>
      <c r="L57" s="119" t="s">
        <v>250</v>
      </c>
      <c r="M57" s="119" t="s">
        <v>250</v>
      </c>
      <c r="N57" s="120">
        <f>J57</f>
        <v>0</v>
      </c>
      <c r="O57" s="120">
        <f>H57</f>
        <v>6</v>
      </c>
      <c r="P57" s="120">
        <f>$P$72*I57</f>
        <v>0</v>
      </c>
      <c r="Q57" s="126">
        <v>0</v>
      </c>
      <c r="R57" s="131" t="s">
        <v>250</v>
      </c>
      <c r="S57" s="126">
        <f>Q57</f>
        <v>0</v>
      </c>
      <c r="T57" s="126">
        <f>IFERROR(IF($D$2="Original",O57*Q57,O57*S57),0)</f>
        <v>0</v>
      </c>
      <c r="U57" s="126">
        <v>0</v>
      </c>
      <c r="V57" s="126">
        <f>0.1*$J57+PV($F$76,$X57,(-0.05*0.9*$J57))</f>
        <v>0</v>
      </c>
      <c r="W57" s="126">
        <f>IFERROR(IF($D$2="Original",MAX(0,O57*(Q57-U57-V57)),MAX(0,O57*(S57-U57-V57))),0)</f>
        <v>0</v>
      </c>
      <c r="X57" s="117">
        <v>0</v>
      </c>
      <c r="Y57" s="128" t="s">
        <v>250</v>
      </c>
      <c r="Z57" s="120">
        <f>X57</f>
        <v>0</v>
      </c>
      <c r="AA57" s="120">
        <f>IFERROR(IF($D$2="Original",PV($F$76,X57,-P57),PV($F$76,Z57,-P57)),0)</f>
        <v>0</v>
      </c>
      <c r="AB57" s="126">
        <f>I57*$AB$72</f>
        <v>0</v>
      </c>
      <c r="AC57" s="126">
        <v>300</v>
      </c>
      <c r="AD57" s="131" t="s">
        <v>250</v>
      </c>
      <c r="AE57" s="119" t="s">
        <v>250</v>
      </c>
      <c r="AF57" s="126">
        <f>AC57</f>
        <v>300</v>
      </c>
      <c r="AG57" s="126">
        <f>IFERROR(IF($D$2="Original",H57*AC57,H57*AF57),0)</f>
        <v>1800</v>
      </c>
      <c r="AH57" s="133">
        <f>IF(ISERROR(AG57/AA57),0,AG57/AA57)</f>
        <v>0</v>
      </c>
      <c r="AI57" s="133">
        <f>IF(AA57=0,0,(AG57+AB57)/AA57)</f>
        <v>0</v>
      </c>
      <c r="AJ57" s="122" t="s">
        <v>442</v>
      </c>
      <c r="AK57" s="76"/>
      <c r="AL57" s="133">
        <f>IF(ISERROR(W57/AA57),0,W57/AA57)</f>
        <v>0</v>
      </c>
      <c r="AM57" s="133">
        <f>IF(AA57=0,0,(W57+AB57)/AA57)</f>
        <v>0</v>
      </c>
      <c r="AN57" s="122" t="str">
        <f>IF($W57=0,"-",(VLOOKUP($X57,AC,5)*$P57)/(W57+AB57))</f>
        <v>-</v>
      </c>
    </row>
    <row r="58" spans="2:40" ht="13.5" thickBot="1" x14ac:dyDescent="0.25">
      <c r="B58" s="1">
        <v>7</v>
      </c>
      <c r="C58" s="104" t="str">
        <f>E58&amp;"_"&amp;F58&amp;"_"&amp;G58</f>
        <v>Bonus - Kitchen Bundle C (3 or more measures)_Foodservice Bundle C_Any 3 Kitchen equipment measures</v>
      </c>
      <c r="E58" s="113" t="s">
        <v>66</v>
      </c>
      <c r="F58" s="113" t="s">
        <v>67</v>
      </c>
      <c r="G58" s="113" t="s">
        <v>68</v>
      </c>
      <c r="H58" s="118">
        <v>0</v>
      </c>
      <c r="I58" s="177">
        <v>0</v>
      </c>
      <c r="J58" s="118">
        <v>0</v>
      </c>
      <c r="K58" s="116" t="s">
        <v>47</v>
      </c>
      <c r="L58" s="147" t="s">
        <v>250</v>
      </c>
      <c r="M58" s="147" t="s">
        <v>250</v>
      </c>
      <c r="N58" s="118">
        <f>J58</f>
        <v>0</v>
      </c>
      <c r="O58" s="118">
        <f>H58</f>
        <v>0</v>
      </c>
      <c r="P58" s="118">
        <f>$P$72*I58</f>
        <v>0</v>
      </c>
      <c r="Q58" s="125">
        <v>0</v>
      </c>
      <c r="R58" s="145" t="s">
        <v>250</v>
      </c>
      <c r="S58" s="125">
        <f>Q58</f>
        <v>0</v>
      </c>
      <c r="T58" s="125">
        <f>IFERROR(IF($D$2="Original",O58*Q58,O58*S58),0)</f>
        <v>0</v>
      </c>
      <c r="U58" s="125">
        <v>0</v>
      </c>
      <c r="V58" s="125">
        <f>0.1*$J58+PV($F$76,$X58,(-0.05*0.9*$J58))</f>
        <v>0</v>
      </c>
      <c r="W58" s="125">
        <f>IFERROR(IF($D$2="Original",MAX(0,O58*(Q58-U58-V58)),MAX(0,O58*(S58-U58-V58))),0)</f>
        <v>0</v>
      </c>
      <c r="X58" s="116">
        <v>0</v>
      </c>
      <c r="Y58" s="146" t="s">
        <v>250</v>
      </c>
      <c r="Z58" s="118">
        <f>X58</f>
        <v>0</v>
      </c>
      <c r="AA58" s="118">
        <f>IFERROR(IF($D$2="Original",PV($F$76,X58,-P58),PV($F$76,Z58,-P58)),0)</f>
        <v>0</v>
      </c>
      <c r="AB58" s="125">
        <f>I58*$AB$72</f>
        <v>0</v>
      </c>
      <c r="AC58" s="125">
        <v>300</v>
      </c>
      <c r="AD58" s="145" t="s">
        <v>250</v>
      </c>
      <c r="AE58" s="147" t="s">
        <v>250</v>
      </c>
      <c r="AF58" s="125">
        <f>AC58</f>
        <v>300</v>
      </c>
      <c r="AG58" s="125">
        <f>IFERROR(IF($D$2="Original",H58*AC58,H58*AF58),0)</f>
        <v>0</v>
      </c>
      <c r="AH58" s="132">
        <f>IF(ISERROR(AG58/AA58),0,AG58/AA58)</f>
        <v>0</v>
      </c>
      <c r="AI58" s="132">
        <f>IF(AA58=0,0,(AG58+AB58)/AA58)</f>
        <v>0</v>
      </c>
      <c r="AJ58" s="121" t="s">
        <v>442</v>
      </c>
      <c r="AK58" s="76"/>
      <c r="AL58" s="132">
        <f>IF(ISERROR(W58/AA58),0,W58/AA58)</f>
        <v>0</v>
      </c>
      <c r="AM58" s="132">
        <f>IF(AA58=0,0,(W58+AB58)/AA58)</f>
        <v>0</v>
      </c>
      <c r="AN58" s="121" t="str">
        <f>IF($W58=0,"-",(VLOOKUP($X58,AC,5)*$P58)/(W58+AB58))</f>
        <v>-</v>
      </c>
    </row>
    <row r="59" spans="2:40" ht="13.5" thickBot="1" x14ac:dyDescent="0.25">
      <c r="B59" s="1">
        <v>7</v>
      </c>
      <c r="C59" s="104" t="str">
        <f>E59&amp;"_"&amp;F59&amp;"_"&amp;G59</f>
        <v>Bonus - Kitchen Bundle C (3 or more measures)_Foodservice Bundle C_Any 3 Kitchen equipment measures</v>
      </c>
      <c r="E59" s="114" t="s">
        <v>66</v>
      </c>
      <c r="F59" s="114" t="s">
        <v>67</v>
      </c>
      <c r="G59" s="114" t="s">
        <v>68</v>
      </c>
      <c r="H59" s="120">
        <v>3</v>
      </c>
      <c r="I59" s="178">
        <v>0</v>
      </c>
      <c r="J59" s="120">
        <v>0</v>
      </c>
      <c r="K59" s="117" t="s">
        <v>47</v>
      </c>
      <c r="L59" s="119" t="s">
        <v>250</v>
      </c>
      <c r="M59" s="119" t="s">
        <v>250</v>
      </c>
      <c r="N59" s="120">
        <f>J59</f>
        <v>0</v>
      </c>
      <c r="O59" s="120">
        <f>H59</f>
        <v>3</v>
      </c>
      <c r="P59" s="120">
        <f>$P$72*I59</f>
        <v>0</v>
      </c>
      <c r="Q59" s="126">
        <v>0</v>
      </c>
      <c r="R59" s="131" t="s">
        <v>250</v>
      </c>
      <c r="S59" s="126">
        <f>Q59</f>
        <v>0</v>
      </c>
      <c r="T59" s="126">
        <f>IFERROR(IF($D$2="Original",O59*Q59,O59*S59),0)</f>
        <v>0</v>
      </c>
      <c r="U59" s="126">
        <v>0</v>
      </c>
      <c r="V59" s="126">
        <f>0.1*$J59+PV($F$76,$X59,(-0.05*0.9*$J59))</f>
        <v>0</v>
      </c>
      <c r="W59" s="126">
        <f>IFERROR(IF($D$2="Original",MAX(0,O59*(Q59-U59-V59)),MAX(0,O59*(S59-U59-V59))),0)</f>
        <v>0</v>
      </c>
      <c r="X59" s="117">
        <v>0</v>
      </c>
      <c r="Y59" s="128" t="s">
        <v>250</v>
      </c>
      <c r="Z59" s="120">
        <f>X59</f>
        <v>0</v>
      </c>
      <c r="AA59" s="120">
        <f>IFERROR(IF($D$2="Original",PV($F$76,X59,-P59),PV($F$76,Z59,-P59)),0)</f>
        <v>0</v>
      </c>
      <c r="AB59" s="126">
        <f>I59*$AB$72</f>
        <v>0</v>
      </c>
      <c r="AC59" s="126">
        <v>500</v>
      </c>
      <c r="AD59" s="131" t="s">
        <v>250</v>
      </c>
      <c r="AE59" s="119" t="s">
        <v>250</v>
      </c>
      <c r="AF59" s="126">
        <f>AC59</f>
        <v>500</v>
      </c>
      <c r="AG59" s="126">
        <f>IFERROR(IF($D$2="Original",H59*AC59,H59*AF59),0)</f>
        <v>1500</v>
      </c>
      <c r="AH59" s="133">
        <f>IF(ISERROR(AG59/AA59),0,AG59/AA59)</f>
        <v>0</v>
      </c>
      <c r="AI59" s="133">
        <f>IF(AA59=0,0,(AG59+AB59)/AA59)</f>
        <v>0</v>
      </c>
      <c r="AJ59" s="122" t="s">
        <v>442</v>
      </c>
      <c r="AK59" s="76"/>
      <c r="AL59" s="133">
        <f>IF(ISERROR(W59/AA59),0,W59/AA59)</f>
        <v>0</v>
      </c>
      <c r="AM59" s="133">
        <f>IF(AA59=0,0,(W59+AB59)/AA59)</f>
        <v>0</v>
      </c>
      <c r="AN59" s="122" t="str">
        <f>IF($W59=0,"-",(VLOOKUP($X59,AC,5)*$P59)/(W59+AB59))</f>
        <v>-</v>
      </c>
    </row>
    <row r="60" spans="2:40" s="3" customFormat="1" ht="14.25" customHeight="1" thickBot="1" x14ac:dyDescent="0.25">
      <c r="C60" s="104" t="str">
        <f>E60&amp;"_"&amp;F60&amp;"_"&amp;G60</f>
        <v>Custom Measures__</v>
      </c>
      <c r="D60" s="1"/>
      <c r="E60" s="143" t="s">
        <v>54</v>
      </c>
      <c r="F60" s="144"/>
      <c r="G60" s="144"/>
      <c r="H60" s="144"/>
      <c r="I60" s="179"/>
      <c r="J60" s="144"/>
      <c r="K60" s="144"/>
      <c r="L60" s="144"/>
      <c r="M60" s="144"/>
      <c r="N60" s="144"/>
      <c r="O60" s="144"/>
      <c r="P60" s="144"/>
      <c r="Q60" s="144"/>
      <c r="R60" s="144"/>
      <c r="S60" s="144"/>
      <c r="T60" s="144"/>
      <c r="U60" s="144"/>
      <c r="V60" s="144"/>
      <c r="W60" s="144"/>
      <c r="X60" s="144"/>
      <c r="Y60" s="144"/>
      <c r="Z60" s="144"/>
      <c r="AA60" s="144"/>
      <c r="AB60" s="144"/>
      <c r="AC60" s="144"/>
      <c r="AD60" s="144"/>
      <c r="AE60" s="144"/>
      <c r="AF60" s="144"/>
      <c r="AG60" s="144"/>
      <c r="AH60" s="144"/>
      <c r="AI60" s="144"/>
      <c r="AJ60" s="144"/>
      <c r="AK60" s="144"/>
      <c r="AL60" s="144"/>
      <c r="AM60" s="144"/>
      <c r="AN60" s="144"/>
    </row>
    <row r="61" spans="2:40" s="3" customFormat="1" ht="23.25" customHeight="1" thickBot="1" x14ac:dyDescent="0.25">
      <c r="C61" s="104"/>
      <c r="D61" s="1"/>
      <c r="E61" s="114" t="s">
        <v>452</v>
      </c>
      <c r="F61" s="114"/>
      <c r="G61" s="114"/>
      <c r="H61" s="120"/>
      <c r="I61" s="178">
        <v>0.21279999999999999</v>
      </c>
      <c r="J61" s="120"/>
      <c r="K61" s="117"/>
      <c r="L61" s="119" t="s">
        <v>250</v>
      </c>
      <c r="M61" s="119" t="s">
        <v>250</v>
      </c>
      <c r="N61" s="120" t="s">
        <v>250</v>
      </c>
      <c r="O61" s="120"/>
      <c r="P61" s="120">
        <f>I61*P72</f>
        <v>114456.18239999999</v>
      </c>
      <c r="Q61" s="126">
        <f>SUM(Q62:Q71)/SUM(J62:J71)</f>
        <v>9.6747241198108256</v>
      </c>
      <c r="R61" s="131" t="s">
        <v>250</v>
      </c>
      <c r="S61" s="126">
        <f>Q61</f>
        <v>9.6747241198108256</v>
      </c>
      <c r="T61" s="126">
        <f>S61*P61</f>
        <v>1107331.9885267473</v>
      </c>
      <c r="U61" s="126">
        <v>0</v>
      </c>
      <c r="V61" s="126">
        <f>SUM(Q62:Q71)</f>
        <v>312987</v>
      </c>
      <c r="W61" s="126">
        <f>T61-V61</f>
        <v>794344.98852674733</v>
      </c>
      <c r="X61" s="117" t="s">
        <v>250</v>
      </c>
      <c r="Y61" s="128" t="s">
        <v>250</v>
      </c>
      <c r="Z61" s="117">
        <f>SUMPRODUCT(J62:J71,X62:X71)/SUM(J62:J71)</f>
        <v>14.316218973138389</v>
      </c>
      <c r="AA61" s="120">
        <f>PV($F$76,Z61,-P61)</f>
        <v>1280517.657001422</v>
      </c>
      <c r="AB61" s="126">
        <f>AB72*I61</f>
        <v>366941.46719999996</v>
      </c>
      <c r="AC61" s="126">
        <f>SUM(AC62:AC71)/SUM(J62:J71)</f>
        <v>1.8117214305585607</v>
      </c>
      <c r="AD61" s="131" t="s">
        <v>250</v>
      </c>
      <c r="AE61" s="119" t="s">
        <v>460</v>
      </c>
      <c r="AF61" s="126">
        <f>AC61</f>
        <v>1.8117214305585607</v>
      </c>
      <c r="AG61" s="126">
        <f>AF61*P61</f>
        <v>207362.71851399954</v>
      </c>
      <c r="AH61" s="133">
        <f>IF(ISERROR(AG61/AA61),0,AG61/AA61)</f>
        <v>0.16193663350146936</v>
      </c>
      <c r="AI61" s="133">
        <f>IF(AA61=0,0,(AG61+AB61)/AA61)</f>
        <v>0.44849376545017189</v>
      </c>
      <c r="AJ61" s="122">
        <f>IF($AG61=0,"-",(VLOOKUP($Z61,AC,7)*$P61)/($AG61+$AB61))</f>
        <v>2.8085853980583599</v>
      </c>
      <c r="AK61" s="76"/>
      <c r="AL61" s="133">
        <f>IF(ISERROR(W61/AA61),0,W61/AA61)</f>
        <v>0.62033114825363567</v>
      </c>
      <c r="AM61" s="133">
        <f>IF(AA61=0,0,(W61+AB61)/AA61)</f>
        <v>0.90688828020233836</v>
      </c>
      <c r="AN61" s="122">
        <f>IF($W61=0,"-",(VLOOKUP($Z61,AC,5)*$P61)/(W61+AB61))</f>
        <v>1.2626924078158814</v>
      </c>
    </row>
    <row r="62" spans="2:40" s="3" customFormat="1" ht="13.5" customHeight="1" thickBot="1" x14ac:dyDescent="0.25">
      <c r="C62" s="104" t="str">
        <f>E62&amp;"_"&amp;F62&amp;"_"&amp;G62</f>
        <v>007897-C-LODGING FACILITY__Custom Other - Laundrey Ozone Injection System</v>
      </c>
      <c r="D62" s="213"/>
      <c r="E62" s="113" t="s">
        <v>182</v>
      </c>
      <c r="F62" s="113"/>
      <c r="G62" s="113" t="s">
        <v>172</v>
      </c>
      <c r="H62" s="118"/>
      <c r="I62" s="118"/>
      <c r="J62" s="118">
        <v>4678</v>
      </c>
      <c r="K62" s="116" t="s">
        <v>47</v>
      </c>
      <c r="L62" s="147" t="s">
        <v>250</v>
      </c>
      <c r="M62" s="147" t="s">
        <v>250</v>
      </c>
      <c r="N62" s="118" t="s">
        <v>250</v>
      </c>
      <c r="O62" s="118">
        <v>0</v>
      </c>
      <c r="P62" s="118">
        <v>0</v>
      </c>
      <c r="Q62" s="125">
        <v>17295</v>
      </c>
      <c r="R62" s="145" t="s">
        <v>250</v>
      </c>
      <c r="S62" s="125" t="s">
        <v>250</v>
      </c>
      <c r="T62" s="125" t="s">
        <v>250</v>
      </c>
      <c r="U62" s="125" t="s">
        <v>250</v>
      </c>
      <c r="V62" s="125" t="s">
        <v>250</v>
      </c>
      <c r="W62" s="125" t="s">
        <v>250</v>
      </c>
      <c r="X62" s="116">
        <v>10</v>
      </c>
      <c r="Y62" s="146" t="s">
        <v>250</v>
      </c>
      <c r="Z62" s="116">
        <f>X62</f>
        <v>10</v>
      </c>
      <c r="AA62" s="118">
        <v>0</v>
      </c>
      <c r="AB62" s="125">
        <v>0</v>
      </c>
      <c r="AC62" s="125">
        <v>2582</v>
      </c>
      <c r="AD62" s="145" t="s">
        <v>250</v>
      </c>
      <c r="AE62" s="147" t="s">
        <v>250</v>
      </c>
      <c r="AF62" s="125" t="s">
        <v>250</v>
      </c>
      <c r="AG62" s="125" t="s">
        <v>250</v>
      </c>
      <c r="AH62" s="125" t="s">
        <v>250</v>
      </c>
      <c r="AI62" s="125" t="s">
        <v>250</v>
      </c>
      <c r="AJ62" s="125" t="s">
        <v>250</v>
      </c>
      <c r="AK62" s="76"/>
      <c r="AL62" s="132" t="s">
        <v>250</v>
      </c>
      <c r="AM62" s="132" t="s">
        <v>250</v>
      </c>
      <c r="AN62" s="132" t="s">
        <v>250</v>
      </c>
    </row>
    <row r="63" spans="2:40" s="3" customFormat="1" ht="13.5" customHeight="1" thickBot="1" x14ac:dyDescent="0.25">
      <c r="C63" s="104" t="str">
        <f>E63&amp;"_"&amp;F63&amp;"_"&amp;G63</f>
        <v>008011-C-ELEMENTARY SCHOOL__Custom Other - Combi Ovens</v>
      </c>
      <c r="D63" s="214"/>
      <c r="E63" s="114" t="s">
        <v>185</v>
      </c>
      <c r="F63" s="114"/>
      <c r="G63" s="114" t="s">
        <v>173</v>
      </c>
      <c r="H63" s="120"/>
      <c r="I63" s="120"/>
      <c r="J63" s="120">
        <v>497</v>
      </c>
      <c r="K63" s="117" t="s">
        <v>47</v>
      </c>
      <c r="L63" s="119" t="s">
        <v>250</v>
      </c>
      <c r="M63" s="119" t="s">
        <v>250</v>
      </c>
      <c r="N63" s="120" t="s">
        <v>250</v>
      </c>
      <c r="O63" s="120">
        <v>0</v>
      </c>
      <c r="P63" s="120">
        <v>0</v>
      </c>
      <c r="Q63" s="126">
        <v>9000</v>
      </c>
      <c r="R63" s="131" t="s">
        <v>250</v>
      </c>
      <c r="S63" s="126" t="s">
        <v>250</v>
      </c>
      <c r="T63" s="126" t="s">
        <v>250</v>
      </c>
      <c r="U63" s="126" t="s">
        <v>250</v>
      </c>
      <c r="V63" s="126" t="s">
        <v>250</v>
      </c>
      <c r="W63" s="126" t="s">
        <v>250</v>
      </c>
      <c r="X63" s="117">
        <v>12</v>
      </c>
      <c r="Y63" s="128" t="s">
        <v>250</v>
      </c>
      <c r="Z63" s="117">
        <f>X63</f>
        <v>12</v>
      </c>
      <c r="AA63" s="120">
        <v>0</v>
      </c>
      <c r="AB63" s="126">
        <v>0</v>
      </c>
      <c r="AC63" s="126">
        <v>636</v>
      </c>
      <c r="AD63" s="131" t="s">
        <v>250</v>
      </c>
      <c r="AE63" s="119" t="s">
        <v>250</v>
      </c>
      <c r="AF63" s="126" t="s">
        <v>250</v>
      </c>
      <c r="AG63" s="126" t="s">
        <v>250</v>
      </c>
      <c r="AH63" s="126" t="s">
        <v>250</v>
      </c>
      <c r="AI63" s="126" t="s">
        <v>250</v>
      </c>
      <c r="AJ63" s="126" t="s">
        <v>250</v>
      </c>
      <c r="AK63" s="76"/>
      <c r="AL63" s="133" t="s">
        <v>250</v>
      </c>
      <c r="AM63" s="133" t="s">
        <v>250</v>
      </c>
      <c r="AN63" s="133" t="s">
        <v>250</v>
      </c>
    </row>
    <row r="64" spans="2:40" s="3" customFormat="1" ht="13.5" customHeight="1" thickBot="1" x14ac:dyDescent="0.25">
      <c r="C64" s="104" t="str">
        <f>E64&amp;"_"&amp;F64&amp;"_"&amp;G64</f>
        <v>007857-C-SCHOOL DISTRICT ZONE 1__Custom DDC Controls - Custom DDC Controls</v>
      </c>
      <c r="D64" s="214"/>
      <c r="E64" s="113" t="s">
        <v>183</v>
      </c>
      <c r="F64" s="113"/>
      <c r="G64" s="113" t="s">
        <v>174</v>
      </c>
      <c r="H64" s="118"/>
      <c r="I64" s="118"/>
      <c r="J64" s="118">
        <v>11758</v>
      </c>
      <c r="K64" s="116" t="s">
        <v>47</v>
      </c>
      <c r="L64" s="147" t="s">
        <v>250</v>
      </c>
      <c r="M64" s="147" t="s">
        <v>250</v>
      </c>
      <c r="N64" s="118" t="s">
        <v>250</v>
      </c>
      <c r="O64" s="118">
        <v>0</v>
      </c>
      <c r="P64" s="118">
        <v>0</v>
      </c>
      <c r="Q64" s="125">
        <v>153200</v>
      </c>
      <c r="R64" s="145" t="s">
        <v>250</v>
      </c>
      <c r="S64" s="125" t="s">
        <v>250</v>
      </c>
      <c r="T64" s="125" t="s">
        <v>250</v>
      </c>
      <c r="U64" s="125" t="s">
        <v>250</v>
      </c>
      <c r="V64" s="125" t="s">
        <v>250</v>
      </c>
      <c r="W64" s="125" t="s">
        <v>250</v>
      </c>
      <c r="X64" s="116">
        <v>15</v>
      </c>
      <c r="Y64" s="146" t="s">
        <v>250</v>
      </c>
      <c r="Z64" s="116">
        <f>X64</f>
        <v>15</v>
      </c>
      <c r="AA64" s="118">
        <v>0</v>
      </c>
      <c r="AB64" s="125">
        <v>0</v>
      </c>
      <c r="AC64" s="125">
        <v>20929</v>
      </c>
      <c r="AD64" s="145" t="s">
        <v>250</v>
      </c>
      <c r="AE64" s="147" t="s">
        <v>250</v>
      </c>
      <c r="AF64" s="125" t="s">
        <v>250</v>
      </c>
      <c r="AG64" s="125" t="s">
        <v>250</v>
      </c>
      <c r="AH64" s="125" t="s">
        <v>250</v>
      </c>
      <c r="AI64" s="125" t="s">
        <v>250</v>
      </c>
      <c r="AJ64" s="125" t="s">
        <v>250</v>
      </c>
      <c r="AK64" s="76"/>
      <c r="AL64" s="132" t="s">
        <v>250</v>
      </c>
      <c r="AM64" s="132" t="s">
        <v>250</v>
      </c>
      <c r="AN64" s="132" t="s">
        <v>250</v>
      </c>
    </row>
    <row r="65" spans="3:40" s="3" customFormat="1" ht="13.5" customHeight="1" thickBot="1" x14ac:dyDescent="0.25">
      <c r="C65" s="104" t="str">
        <f>E65&amp;"_"&amp;F65&amp;"_"&amp;G65</f>
        <v>008286-C-SCHOOL DISTRICT ZONE 2__Custom Heat Recovery - AHU Heat Recovery</v>
      </c>
      <c r="D65" s="214"/>
      <c r="E65" s="114" t="s">
        <v>184</v>
      </c>
      <c r="F65" s="114"/>
      <c r="G65" s="114" t="s">
        <v>175</v>
      </c>
      <c r="H65" s="120"/>
      <c r="I65" s="120"/>
      <c r="J65" s="120">
        <v>1467</v>
      </c>
      <c r="K65" s="117" t="s">
        <v>47</v>
      </c>
      <c r="L65" s="119" t="s">
        <v>250</v>
      </c>
      <c r="M65" s="119" t="s">
        <v>250</v>
      </c>
      <c r="N65" s="120" t="s">
        <v>250</v>
      </c>
      <c r="O65" s="120">
        <v>0</v>
      </c>
      <c r="P65" s="120">
        <v>0</v>
      </c>
      <c r="Q65" s="126">
        <v>9500</v>
      </c>
      <c r="R65" s="131" t="s">
        <v>250</v>
      </c>
      <c r="S65" s="126" t="s">
        <v>250</v>
      </c>
      <c r="T65" s="126" t="s">
        <v>250</v>
      </c>
      <c r="U65" s="126" t="s">
        <v>250</v>
      </c>
      <c r="V65" s="126" t="s">
        <v>250</v>
      </c>
      <c r="W65" s="126" t="s">
        <v>250</v>
      </c>
      <c r="X65" s="117">
        <v>15</v>
      </c>
      <c r="Y65" s="128" t="s">
        <v>250</v>
      </c>
      <c r="Z65" s="117">
        <f>X65</f>
        <v>15</v>
      </c>
      <c r="AA65" s="120">
        <v>0</v>
      </c>
      <c r="AB65" s="126">
        <v>0</v>
      </c>
      <c r="AC65" s="126">
        <v>3368</v>
      </c>
      <c r="AD65" s="131" t="s">
        <v>250</v>
      </c>
      <c r="AE65" s="119" t="s">
        <v>250</v>
      </c>
      <c r="AF65" s="126" t="s">
        <v>250</v>
      </c>
      <c r="AG65" s="126" t="s">
        <v>250</v>
      </c>
      <c r="AH65" s="126" t="s">
        <v>250</v>
      </c>
      <c r="AI65" s="126" t="s">
        <v>250</v>
      </c>
      <c r="AJ65" s="126" t="s">
        <v>250</v>
      </c>
      <c r="AK65" s="76"/>
      <c r="AL65" s="133" t="s">
        <v>250</v>
      </c>
      <c r="AM65" s="133" t="s">
        <v>250</v>
      </c>
      <c r="AN65" s="133" t="s">
        <v>250</v>
      </c>
    </row>
    <row r="66" spans="3:40" s="3" customFormat="1" ht="26.25" customHeight="1" thickBot="1" x14ac:dyDescent="0.25">
      <c r="C66" s="104" t="str">
        <f>E66&amp;"_"&amp;F66&amp;"_"&amp;G66</f>
        <v>008011-C-ELEMENTARY SCHOOL__Custom Hood System M/U Air Reduction - CaptiveAire Hood MUA DCV Control</v>
      </c>
      <c r="D66" s="214" t="s">
        <v>463</v>
      </c>
      <c r="E66" s="113" t="s">
        <v>185</v>
      </c>
      <c r="F66" s="113"/>
      <c r="G66" s="113" t="s">
        <v>176</v>
      </c>
      <c r="H66" s="118"/>
      <c r="I66" s="118"/>
      <c r="J66" s="118">
        <v>814</v>
      </c>
      <c r="K66" s="116" t="s">
        <v>47</v>
      </c>
      <c r="L66" s="147" t="s">
        <v>250</v>
      </c>
      <c r="M66" s="147" t="s">
        <v>250</v>
      </c>
      <c r="N66" s="118" t="s">
        <v>250</v>
      </c>
      <c r="O66" s="118">
        <v>0</v>
      </c>
      <c r="P66" s="118">
        <v>0</v>
      </c>
      <c r="Q66" s="125">
        <v>2493</v>
      </c>
      <c r="R66" s="145" t="s">
        <v>250</v>
      </c>
      <c r="S66" s="125" t="s">
        <v>250</v>
      </c>
      <c r="T66" s="125" t="s">
        <v>250</v>
      </c>
      <c r="U66" s="125" t="s">
        <v>250</v>
      </c>
      <c r="V66" s="125" t="s">
        <v>250</v>
      </c>
      <c r="W66" s="125" t="s">
        <v>250</v>
      </c>
      <c r="X66" s="116">
        <v>15</v>
      </c>
      <c r="Y66" s="146" t="s">
        <v>250</v>
      </c>
      <c r="Z66" s="116">
        <f>X66</f>
        <v>15</v>
      </c>
      <c r="AA66" s="118">
        <v>0</v>
      </c>
      <c r="AB66" s="125">
        <v>0</v>
      </c>
      <c r="AC66" s="125">
        <v>1869</v>
      </c>
      <c r="AD66" s="145" t="s">
        <v>250</v>
      </c>
      <c r="AE66" s="147" t="s">
        <v>250</v>
      </c>
      <c r="AF66" s="125" t="s">
        <v>250</v>
      </c>
      <c r="AG66" s="125" t="s">
        <v>250</v>
      </c>
      <c r="AH66" s="125" t="s">
        <v>250</v>
      </c>
      <c r="AI66" s="125" t="s">
        <v>250</v>
      </c>
      <c r="AJ66" s="125" t="s">
        <v>250</v>
      </c>
      <c r="AK66" s="76"/>
      <c r="AL66" s="132" t="s">
        <v>250</v>
      </c>
      <c r="AM66" s="132" t="s">
        <v>250</v>
      </c>
      <c r="AN66" s="132" t="s">
        <v>250</v>
      </c>
    </row>
    <row r="67" spans="3:40" s="3" customFormat="1" ht="13.5" customHeight="1" thickBot="1" x14ac:dyDescent="0.25">
      <c r="C67" s="104" t="str">
        <f>E67&amp;"_"&amp;F67&amp;"_"&amp;G67</f>
        <v>008011-C-ELEMENTARY SCHOOL__Custom Other - ERV Units</v>
      </c>
      <c r="D67" s="214"/>
      <c r="E67" s="114" t="s">
        <v>185</v>
      </c>
      <c r="F67" s="114"/>
      <c r="G67" s="114" t="s">
        <v>177</v>
      </c>
      <c r="H67" s="120"/>
      <c r="I67" s="120"/>
      <c r="J67" s="120">
        <v>2134</v>
      </c>
      <c r="K67" s="117" t="s">
        <v>47</v>
      </c>
      <c r="L67" s="119" t="s">
        <v>250</v>
      </c>
      <c r="M67" s="119" t="s">
        <v>250</v>
      </c>
      <c r="N67" s="120" t="s">
        <v>250</v>
      </c>
      <c r="O67" s="120">
        <v>0</v>
      </c>
      <c r="P67" s="120">
        <v>0</v>
      </c>
      <c r="Q67" s="126">
        <v>18000</v>
      </c>
      <c r="R67" s="131" t="s">
        <v>250</v>
      </c>
      <c r="S67" s="126" t="s">
        <v>250</v>
      </c>
      <c r="T67" s="126" t="s">
        <v>250</v>
      </c>
      <c r="U67" s="126" t="s">
        <v>250</v>
      </c>
      <c r="V67" s="126" t="s">
        <v>250</v>
      </c>
      <c r="W67" s="126" t="s">
        <v>250</v>
      </c>
      <c r="X67" s="117">
        <v>15</v>
      </c>
      <c r="Y67" s="128" t="s">
        <v>250</v>
      </c>
      <c r="Z67" s="117">
        <f>X67</f>
        <v>15</v>
      </c>
      <c r="AA67" s="120">
        <v>0</v>
      </c>
      <c r="AB67" s="126">
        <v>0</v>
      </c>
      <c r="AC67" s="126">
        <v>4900</v>
      </c>
      <c r="AD67" s="131" t="s">
        <v>250</v>
      </c>
      <c r="AE67" s="119" t="s">
        <v>250</v>
      </c>
      <c r="AF67" s="126" t="s">
        <v>250</v>
      </c>
      <c r="AG67" s="126" t="s">
        <v>250</v>
      </c>
      <c r="AH67" s="126" t="s">
        <v>250</v>
      </c>
      <c r="AI67" s="126" t="s">
        <v>250</v>
      </c>
      <c r="AJ67" s="126" t="s">
        <v>250</v>
      </c>
      <c r="AK67" s="76"/>
      <c r="AL67" s="133" t="s">
        <v>250</v>
      </c>
      <c r="AM67" s="133" t="s">
        <v>250</v>
      </c>
      <c r="AN67" s="133" t="s">
        <v>250</v>
      </c>
    </row>
    <row r="68" spans="3:40" s="3" customFormat="1" ht="13.5" customHeight="1" thickBot="1" x14ac:dyDescent="0.25">
      <c r="C68" s="104" t="str">
        <f>E68&amp;"_"&amp;F68&amp;"_"&amp;G68</f>
        <v>008001-C-SCHOOL DISTRICT__Custom Other - Custom Air Handling Units</v>
      </c>
      <c r="D68" s="214"/>
      <c r="E68" s="113" t="s">
        <v>186</v>
      </c>
      <c r="F68" s="113"/>
      <c r="G68" s="113" t="s">
        <v>178</v>
      </c>
      <c r="H68" s="118"/>
      <c r="I68" s="118"/>
      <c r="J68" s="118">
        <v>1070</v>
      </c>
      <c r="K68" s="116" t="s">
        <v>47</v>
      </c>
      <c r="L68" s="147" t="s">
        <v>250</v>
      </c>
      <c r="M68" s="147" t="s">
        <v>250</v>
      </c>
      <c r="N68" s="118" t="s">
        <v>250</v>
      </c>
      <c r="O68" s="118">
        <v>0</v>
      </c>
      <c r="P68" s="118">
        <v>0</v>
      </c>
      <c r="Q68" s="125">
        <v>20000</v>
      </c>
      <c r="R68" s="145" t="s">
        <v>250</v>
      </c>
      <c r="S68" s="125" t="s">
        <v>250</v>
      </c>
      <c r="T68" s="125" t="s">
        <v>250</v>
      </c>
      <c r="U68" s="125" t="s">
        <v>250</v>
      </c>
      <c r="V68" s="125" t="s">
        <v>250</v>
      </c>
      <c r="W68" s="125" t="s">
        <v>250</v>
      </c>
      <c r="X68" s="116">
        <v>15</v>
      </c>
      <c r="Y68" s="146" t="s">
        <v>250</v>
      </c>
      <c r="Z68" s="116">
        <f>X68</f>
        <v>15</v>
      </c>
      <c r="AA68" s="118">
        <v>0</v>
      </c>
      <c r="AB68" s="125">
        <v>0</v>
      </c>
      <c r="AC68" s="125">
        <v>2457</v>
      </c>
      <c r="AD68" s="145" t="s">
        <v>250</v>
      </c>
      <c r="AE68" s="147" t="s">
        <v>250</v>
      </c>
      <c r="AF68" s="125" t="s">
        <v>250</v>
      </c>
      <c r="AG68" s="125" t="s">
        <v>250</v>
      </c>
      <c r="AH68" s="125" t="s">
        <v>250</v>
      </c>
      <c r="AI68" s="125" t="s">
        <v>250</v>
      </c>
      <c r="AJ68" s="125" t="s">
        <v>250</v>
      </c>
      <c r="AK68" s="76"/>
      <c r="AL68" s="132" t="s">
        <v>250</v>
      </c>
      <c r="AM68" s="132" t="s">
        <v>250</v>
      </c>
      <c r="AN68" s="132" t="s">
        <v>250</v>
      </c>
    </row>
    <row r="69" spans="3:40" s="3" customFormat="1" ht="26.25" customHeight="1" thickBot="1" x14ac:dyDescent="0.25">
      <c r="C69" s="104" t="str">
        <f>E69&amp;"_"&amp;F69&amp;"_"&amp;G69</f>
        <v>008304-C-MIDDLE SCHOOL__Custom DDC Controls - HVAC Control Optimization</v>
      </c>
      <c r="D69" s="214"/>
      <c r="E69" s="114" t="s">
        <v>187</v>
      </c>
      <c r="F69" s="114"/>
      <c r="G69" s="114" t="s">
        <v>179</v>
      </c>
      <c r="H69" s="120"/>
      <c r="I69" s="120"/>
      <c r="J69" s="120">
        <v>2745</v>
      </c>
      <c r="K69" s="117" t="s">
        <v>47</v>
      </c>
      <c r="L69" s="119" t="s">
        <v>250</v>
      </c>
      <c r="M69" s="119" t="s">
        <v>250</v>
      </c>
      <c r="N69" s="120" t="s">
        <v>250</v>
      </c>
      <c r="O69" s="120">
        <v>0</v>
      </c>
      <c r="P69" s="120">
        <v>0</v>
      </c>
      <c r="Q69" s="126">
        <v>16279</v>
      </c>
      <c r="R69" s="131" t="s">
        <v>250</v>
      </c>
      <c r="S69" s="126" t="s">
        <v>250</v>
      </c>
      <c r="T69" s="126" t="s">
        <v>250</v>
      </c>
      <c r="U69" s="126" t="s">
        <v>250</v>
      </c>
      <c r="V69" s="126" t="s">
        <v>250</v>
      </c>
      <c r="W69" s="126" t="s">
        <v>250</v>
      </c>
      <c r="X69" s="117">
        <v>15</v>
      </c>
      <c r="Y69" s="128" t="s">
        <v>250</v>
      </c>
      <c r="Z69" s="117">
        <f>X69</f>
        <v>15</v>
      </c>
      <c r="AA69" s="120">
        <v>0</v>
      </c>
      <c r="AB69" s="126">
        <v>0</v>
      </c>
      <c r="AC69" s="126">
        <v>4884</v>
      </c>
      <c r="AD69" s="131" t="s">
        <v>250</v>
      </c>
      <c r="AE69" s="119" t="s">
        <v>250</v>
      </c>
      <c r="AF69" s="126" t="s">
        <v>250</v>
      </c>
      <c r="AG69" s="126" t="s">
        <v>250</v>
      </c>
      <c r="AH69" s="126" t="s">
        <v>250</v>
      </c>
      <c r="AI69" s="126" t="s">
        <v>250</v>
      </c>
      <c r="AJ69" s="126" t="s">
        <v>250</v>
      </c>
      <c r="AK69" s="76"/>
      <c r="AL69" s="133" t="s">
        <v>250</v>
      </c>
      <c r="AM69" s="133" t="s">
        <v>250</v>
      </c>
      <c r="AN69" s="133" t="s">
        <v>250</v>
      </c>
    </row>
    <row r="70" spans="3:40" s="3" customFormat="1" ht="13.5" customHeight="1" thickBot="1" x14ac:dyDescent="0.25">
      <c r="C70" s="104" t="str">
        <f>E70&amp;"_"&amp;F70&amp;"_"&amp;G70</f>
        <v>008339-C-SCHOOL DIST 2__Custom Other - DOAS units</v>
      </c>
      <c r="D70" s="214"/>
      <c r="E70" s="113" t="s">
        <v>188</v>
      </c>
      <c r="F70" s="113"/>
      <c r="G70" s="113" t="s">
        <v>180</v>
      </c>
      <c r="H70" s="118"/>
      <c r="I70" s="118"/>
      <c r="J70" s="118">
        <v>7004</v>
      </c>
      <c r="K70" s="116" t="s">
        <v>47</v>
      </c>
      <c r="L70" s="147" t="s">
        <v>250</v>
      </c>
      <c r="M70" s="147" t="s">
        <v>250</v>
      </c>
      <c r="N70" s="118" t="s">
        <v>250</v>
      </c>
      <c r="O70" s="118">
        <v>0</v>
      </c>
      <c r="P70" s="118">
        <v>0</v>
      </c>
      <c r="Q70" s="125">
        <v>64000</v>
      </c>
      <c r="R70" s="145" t="s">
        <v>250</v>
      </c>
      <c r="S70" s="125" t="s">
        <v>250</v>
      </c>
      <c r="T70" s="125" t="s">
        <v>250</v>
      </c>
      <c r="U70" s="125" t="s">
        <v>250</v>
      </c>
      <c r="V70" s="125" t="s">
        <v>250</v>
      </c>
      <c r="W70" s="125" t="s">
        <v>250</v>
      </c>
      <c r="X70" s="116">
        <v>15</v>
      </c>
      <c r="Y70" s="146" t="s">
        <v>250</v>
      </c>
      <c r="Z70" s="116">
        <f>X70</f>
        <v>15</v>
      </c>
      <c r="AA70" s="118">
        <v>0</v>
      </c>
      <c r="AB70" s="125">
        <v>0</v>
      </c>
      <c r="AC70" s="125">
        <v>16081</v>
      </c>
      <c r="AD70" s="145" t="s">
        <v>250</v>
      </c>
      <c r="AE70" s="147" t="s">
        <v>250</v>
      </c>
      <c r="AF70" s="125" t="s">
        <v>250</v>
      </c>
      <c r="AG70" s="125" t="s">
        <v>250</v>
      </c>
      <c r="AH70" s="125" t="s">
        <v>250</v>
      </c>
      <c r="AI70" s="125" t="s">
        <v>250</v>
      </c>
      <c r="AJ70" s="125" t="s">
        <v>250</v>
      </c>
      <c r="AK70" s="76"/>
      <c r="AL70" s="132" t="s">
        <v>250</v>
      </c>
      <c r="AM70" s="132" t="s">
        <v>250</v>
      </c>
      <c r="AN70" s="132" t="s">
        <v>250</v>
      </c>
    </row>
    <row r="71" spans="3:40" s="3" customFormat="1" ht="13.5" customHeight="1" thickBot="1" x14ac:dyDescent="0.25">
      <c r="C71" s="104" t="str">
        <f>E71&amp;"_"&amp;F71&amp;"_"&amp;G71</f>
        <v>007926-C-PUBLISHER__Custom Insulation - Crawl Space Insulation</v>
      </c>
      <c r="D71" s="214"/>
      <c r="E71" s="114" t="s">
        <v>189</v>
      </c>
      <c r="F71" s="114"/>
      <c r="G71" s="114" t="s">
        <v>181</v>
      </c>
      <c r="H71" s="120"/>
      <c r="I71" s="120"/>
      <c r="J71" s="120">
        <v>184</v>
      </c>
      <c r="K71" s="117" t="s">
        <v>47</v>
      </c>
      <c r="L71" s="119" t="s">
        <v>250</v>
      </c>
      <c r="M71" s="119" t="s">
        <v>250</v>
      </c>
      <c r="N71" s="120" t="s">
        <v>250</v>
      </c>
      <c r="O71" s="120">
        <v>0</v>
      </c>
      <c r="P71" s="120">
        <v>0</v>
      </c>
      <c r="Q71" s="126">
        <v>3220</v>
      </c>
      <c r="R71" s="131" t="s">
        <v>250</v>
      </c>
      <c r="S71" s="126" t="s">
        <v>250</v>
      </c>
      <c r="T71" s="126" t="s">
        <v>250</v>
      </c>
      <c r="U71" s="126" t="s">
        <v>250</v>
      </c>
      <c r="V71" s="126" t="s">
        <v>250</v>
      </c>
      <c r="W71" s="126" t="s">
        <v>250</v>
      </c>
      <c r="X71" s="117">
        <v>30</v>
      </c>
      <c r="Y71" s="128" t="s">
        <v>250</v>
      </c>
      <c r="Z71" s="117">
        <f>X71</f>
        <v>30</v>
      </c>
      <c r="AA71" s="120">
        <v>0</v>
      </c>
      <c r="AB71" s="126">
        <v>0</v>
      </c>
      <c r="AC71" s="126">
        <v>905</v>
      </c>
      <c r="AD71" s="131" t="s">
        <v>250</v>
      </c>
      <c r="AE71" s="119" t="s">
        <v>250</v>
      </c>
      <c r="AF71" s="126" t="s">
        <v>250</v>
      </c>
      <c r="AG71" s="126" t="s">
        <v>250</v>
      </c>
      <c r="AH71" s="126" t="s">
        <v>250</v>
      </c>
      <c r="AI71" s="126" t="s">
        <v>250</v>
      </c>
      <c r="AJ71" s="126" t="s">
        <v>250</v>
      </c>
      <c r="AK71" s="76"/>
      <c r="AL71" s="133" t="s">
        <v>250</v>
      </c>
      <c r="AM71" s="133" t="s">
        <v>250</v>
      </c>
      <c r="AN71" s="133" t="s">
        <v>250</v>
      </c>
    </row>
    <row r="72" spans="3:40" ht="29.45" customHeight="1" thickBot="1" x14ac:dyDescent="0.25">
      <c r="E72" s="115" t="s">
        <v>1</v>
      </c>
      <c r="F72" s="115"/>
      <c r="G72" s="115"/>
      <c r="H72" s="129"/>
      <c r="I72" s="129"/>
      <c r="J72" s="115"/>
      <c r="K72" s="115"/>
      <c r="L72" s="115"/>
      <c r="M72" s="115"/>
      <c r="N72" s="115"/>
      <c r="O72" s="115"/>
      <c r="P72" s="124">
        <v>537858</v>
      </c>
      <c r="Q72" s="115"/>
      <c r="R72" s="115"/>
      <c r="S72" s="115"/>
      <c r="T72" s="130">
        <f>SUM(T6:T61)</f>
        <v>3622593.5890275715</v>
      </c>
      <c r="U72" s="115"/>
      <c r="V72" s="115"/>
      <c r="W72" s="136">
        <f>SUM(W6:W61)</f>
        <v>2998020.532690106</v>
      </c>
      <c r="X72" s="137">
        <f>IF($D$2="Original",SUMPRODUCT(P6:P61,X6:X61)/SUM(P6:P61),SUMPRODUCT(P6:P61,Z6:Z61)/SUM(P6:P61))</f>
        <v>22.107841886114336</v>
      </c>
      <c r="Y72" s="115"/>
      <c r="Z72" s="115"/>
      <c r="AA72" s="129">
        <f>SUM(AA6:AA61)</f>
        <v>7933733.2657359578</v>
      </c>
      <c r="AB72" s="130">
        <f>SUM(E79,E85,E87)</f>
        <v>1724349</v>
      </c>
      <c r="AC72" s="123"/>
      <c r="AD72" s="115"/>
      <c r="AE72" s="115"/>
      <c r="AF72" s="115"/>
      <c r="AG72" s="130">
        <f>SUM(AG6:AG61)</f>
        <v>2709436.9291731277</v>
      </c>
      <c r="AH72" s="134">
        <f>AG72/AA72</f>
        <v>0.34150844733772279</v>
      </c>
      <c r="AI72" s="134">
        <f>(AG72+AB72)/AA72</f>
        <v>0.55885240663707092</v>
      </c>
      <c r="AJ72" s="135">
        <f>IF($AG72=0,"-",(VLOOKUP($X72,AC,7)*$P72)/($AG72+$AB72))</f>
        <v>2.8714609538555473</v>
      </c>
      <c r="AK72" s="115"/>
      <c r="AL72" s="134">
        <f>(W72)/AA72</f>
        <v>0.37788269812874786</v>
      </c>
      <c r="AM72" s="134">
        <f>(W72+AB72)/AA72</f>
        <v>0.595226657428096</v>
      </c>
      <c r="AN72" s="135">
        <f>IF($W72=0,"-",(VLOOKUP($X72,AC,5)*$P72)/($W72+AB72))</f>
        <v>2.4508965612289453</v>
      </c>
    </row>
    <row r="73" spans="3:40" ht="13.5" thickBot="1" x14ac:dyDescent="0.25">
      <c r="E73" s="3"/>
      <c r="F73" s="36"/>
      <c r="G73" s="36"/>
      <c r="H73" s="37"/>
      <c r="I73" s="37"/>
      <c r="J73" s="33"/>
      <c r="K73" s="33"/>
      <c r="L73" s="33"/>
      <c r="M73" s="33"/>
      <c r="N73" s="35"/>
      <c r="O73" s="35"/>
      <c r="P73" s="34"/>
      <c r="Q73" s="33"/>
      <c r="R73" s="33"/>
      <c r="S73" s="33"/>
      <c r="T73" s="33"/>
      <c r="U73" s="33"/>
      <c r="V73" s="33"/>
      <c r="W73" s="33"/>
      <c r="X73" s="34"/>
      <c r="Y73" s="34"/>
      <c r="Z73" s="34"/>
      <c r="AA73" s="38"/>
      <c r="AB73" s="33"/>
      <c r="AG73" s="70"/>
      <c r="AH73" s="39"/>
      <c r="AI73" s="33"/>
      <c r="AJ73" s="40"/>
      <c r="AK73" s="33"/>
      <c r="AL73" s="41"/>
      <c r="AM73" s="41"/>
      <c r="AN73" s="3"/>
    </row>
    <row r="74" spans="3:40" x14ac:dyDescent="0.2">
      <c r="E74" s="42" t="s">
        <v>7</v>
      </c>
      <c r="F74" s="43">
        <v>8.7599999999999997E-2</v>
      </c>
      <c r="G74" s="44"/>
      <c r="H74" s="45"/>
      <c r="I74" s="45"/>
      <c r="J74" s="46"/>
      <c r="K74" s="47"/>
      <c r="L74" s="47"/>
      <c r="M74" s="47"/>
      <c r="N74" s="48"/>
      <c r="O74" s="48"/>
      <c r="P74" s="34"/>
      <c r="Q74" s="72" t="s">
        <v>190</v>
      </c>
      <c r="R74" s="72"/>
      <c r="S74" s="72" t="s">
        <v>469</v>
      </c>
      <c r="T74" s="127">
        <f>T72-W72</f>
        <v>624573.05633746553</v>
      </c>
      <c r="U74" s="48"/>
      <c r="V74" s="48"/>
      <c r="W74" s="49"/>
      <c r="X74" s="34"/>
      <c r="Y74" s="34"/>
      <c r="Z74" s="34"/>
      <c r="AA74" s="50"/>
      <c r="AB74" s="50"/>
      <c r="AG74" s="71"/>
      <c r="AH74" s="51"/>
      <c r="AI74" s="52"/>
      <c r="AJ74" s="53"/>
      <c r="AK74" s="48"/>
      <c r="AL74" s="46"/>
      <c r="AM74" s="46"/>
      <c r="AN74" s="46"/>
    </row>
    <row r="75" spans="3:40" x14ac:dyDescent="0.2">
      <c r="E75" s="54" t="s">
        <v>8</v>
      </c>
      <c r="F75" s="55">
        <v>0.02</v>
      </c>
      <c r="G75" s="44"/>
      <c r="H75" s="56"/>
      <c r="I75" s="56"/>
      <c r="J75" s="1"/>
      <c r="K75" s="46"/>
      <c r="L75" s="46"/>
      <c r="M75" s="46"/>
      <c r="N75" s="28"/>
      <c r="O75" s="28"/>
      <c r="P75" s="57"/>
      <c r="Q75" s="3"/>
      <c r="R75" s="3"/>
      <c r="S75" s="3"/>
      <c r="T75" s="3"/>
      <c r="U75" s="3"/>
      <c r="V75" s="3"/>
      <c r="W75" s="3"/>
      <c r="X75" s="3"/>
      <c r="Y75" s="3"/>
      <c r="Z75" s="3"/>
      <c r="AA75" s="58"/>
      <c r="AB75" s="33"/>
      <c r="AG75" s="71"/>
    </row>
    <row r="76" spans="3:40" ht="20.25" customHeight="1" thickBot="1" x14ac:dyDescent="0.25">
      <c r="E76" s="59" t="s">
        <v>9</v>
      </c>
      <c r="F76" s="60">
        <v>3.4000000000000002E-2</v>
      </c>
      <c r="G76" s="44"/>
      <c r="H76" s="45"/>
      <c r="I76" s="45"/>
      <c r="J76" s="1"/>
      <c r="K76" s="46"/>
      <c r="L76" s="46"/>
      <c r="M76" s="46"/>
      <c r="N76" s="28"/>
      <c r="O76" s="28"/>
      <c r="P76" s="28"/>
    </row>
    <row r="77" spans="3:40" x14ac:dyDescent="0.2">
      <c r="F77" s="61"/>
      <c r="G77" s="44"/>
      <c r="P77" s="28"/>
    </row>
    <row r="78" spans="3:40" s="30" customFormat="1" ht="12.75" customHeight="1" x14ac:dyDescent="0.2">
      <c r="D78" s="1"/>
      <c r="E78" s="29" t="s">
        <v>455</v>
      </c>
      <c r="F78" s="61"/>
      <c r="G78" s="44"/>
      <c r="H78" s="31"/>
      <c r="I78" s="31"/>
      <c r="K78" s="2"/>
      <c r="L78" s="2"/>
      <c r="M78" s="2"/>
      <c r="N78" s="29"/>
      <c r="O78" s="29"/>
      <c r="P78" s="62"/>
      <c r="AG78" s="63"/>
    </row>
    <row r="79" spans="3:40" s="30" customFormat="1" x14ac:dyDescent="0.2">
      <c r="D79" s="1"/>
      <c r="E79" s="73">
        <v>1609349</v>
      </c>
      <c r="G79" s="44"/>
      <c r="H79" s="31"/>
      <c r="I79" s="31"/>
      <c r="K79" s="64"/>
      <c r="L79" s="64"/>
      <c r="M79" s="64"/>
      <c r="N79" s="29"/>
      <c r="O79" s="29"/>
      <c r="P79" s="62"/>
      <c r="AG79" s="63"/>
    </row>
    <row r="80" spans="3:40" s="30" customFormat="1" ht="16.899999999999999" customHeight="1" x14ac:dyDescent="0.2">
      <c r="D80" s="1"/>
      <c r="E80" s="29" t="s">
        <v>56</v>
      </c>
      <c r="G80" s="44"/>
      <c r="H80" s="31"/>
      <c r="I80" s="31"/>
      <c r="K80" s="2"/>
      <c r="L80" s="2"/>
      <c r="M80" s="2"/>
      <c r="N80" s="29"/>
      <c r="O80" s="29"/>
      <c r="P80" s="62"/>
      <c r="AG80" s="63"/>
    </row>
    <row r="81" spans="4:40" s="30" customFormat="1" ht="14.45" customHeight="1" x14ac:dyDescent="0.2">
      <c r="D81" s="1"/>
      <c r="E81" s="74">
        <f>AB61</f>
        <v>366941.46719999996</v>
      </c>
      <c r="G81" s="44"/>
      <c r="H81" s="31"/>
      <c r="I81" s="31"/>
      <c r="K81" s="65"/>
      <c r="L81" s="65"/>
      <c r="M81" s="65"/>
      <c r="N81" s="29"/>
      <c r="O81" s="29"/>
      <c r="P81" s="62"/>
      <c r="AG81" s="63"/>
    </row>
    <row r="82" spans="4:40" s="30" customFormat="1" ht="16.899999999999999" customHeight="1" x14ac:dyDescent="0.2">
      <c r="D82" s="1"/>
      <c r="E82" s="29" t="s">
        <v>57</v>
      </c>
      <c r="G82" s="44"/>
      <c r="H82" s="31"/>
      <c r="I82" s="31"/>
      <c r="K82" s="2"/>
      <c r="L82" s="2"/>
      <c r="M82" s="2"/>
      <c r="N82" s="29"/>
      <c r="O82" s="29"/>
      <c r="P82" s="62"/>
      <c r="AG82" s="63"/>
    </row>
    <row r="83" spans="4:40" s="30" customFormat="1" ht="14.45" customHeight="1" x14ac:dyDescent="0.2">
      <c r="D83" s="1"/>
      <c r="E83" s="74">
        <f>E79*SUM(I6:I59)</f>
        <v>1266917.4692695807</v>
      </c>
      <c r="G83" s="44"/>
      <c r="H83" s="31"/>
      <c r="I83" s="31"/>
      <c r="K83" s="65"/>
      <c r="L83" s="65"/>
      <c r="M83" s="65"/>
      <c r="N83" s="29"/>
      <c r="O83" s="29"/>
      <c r="P83" s="62"/>
      <c r="AG83" s="63"/>
    </row>
    <row r="84" spans="4:40" s="30" customFormat="1" x14ac:dyDescent="0.2">
      <c r="D84" s="1"/>
      <c r="E84" s="29" t="s">
        <v>467</v>
      </c>
      <c r="H84" s="31"/>
      <c r="I84" s="31"/>
      <c r="K84" s="2"/>
      <c r="L84" s="2"/>
      <c r="M84" s="2"/>
      <c r="N84" s="29"/>
      <c r="O84" s="29"/>
      <c r="P84" s="62"/>
      <c r="AG84" s="63"/>
    </row>
    <row r="85" spans="4:40" s="30" customFormat="1" ht="18" customHeight="1" x14ac:dyDescent="0.2">
      <c r="D85" s="1"/>
      <c r="E85" s="184">
        <v>35000</v>
      </c>
      <c r="F85" s="64"/>
      <c r="H85" s="31"/>
      <c r="I85" s="31"/>
      <c r="K85" s="2"/>
      <c r="L85" s="2"/>
      <c r="M85" s="2"/>
      <c r="N85" s="29"/>
      <c r="O85" s="29"/>
      <c r="P85" s="62"/>
      <c r="AG85" s="63"/>
      <c r="AH85" s="66"/>
    </row>
    <row r="86" spans="4:40" x14ac:dyDescent="0.2">
      <c r="E86" s="29" t="s">
        <v>468</v>
      </c>
      <c r="F86" s="67"/>
      <c r="P86" s="68"/>
    </row>
    <row r="87" spans="4:40" x14ac:dyDescent="0.2">
      <c r="E87" s="184">
        <v>80000</v>
      </c>
      <c r="F87" s="65"/>
      <c r="P87" s="68"/>
    </row>
    <row r="88" spans="4:40" x14ac:dyDescent="0.2">
      <c r="E88" s="69"/>
      <c r="P88" s="68"/>
    </row>
    <row r="89" spans="4:40" x14ac:dyDescent="0.2">
      <c r="P89" s="68"/>
    </row>
    <row r="90" spans="4:40" x14ac:dyDescent="0.2">
      <c r="P90" s="68"/>
    </row>
    <row r="91" spans="4:40" x14ac:dyDescent="0.2">
      <c r="P91" s="68"/>
      <c r="AN91" s="3"/>
    </row>
    <row r="92" spans="4:40" s="3" customFormat="1" x14ac:dyDescent="0.2">
      <c r="D92" s="1"/>
      <c r="E92" s="1"/>
      <c r="F92" s="30"/>
      <c r="G92" s="30"/>
      <c r="H92" s="31"/>
      <c r="I92" s="31"/>
      <c r="J92" s="2"/>
      <c r="K92" s="2"/>
      <c r="L92" s="2"/>
      <c r="M92" s="2"/>
      <c r="N92" s="110"/>
      <c r="O92" s="110"/>
      <c r="P92" s="110"/>
      <c r="Q92" s="1"/>
      <c r="R92" s="1"/>
      <c r="S92" s="1"/>
      <c r="T92" s="1"/>
      <c r="U92" s="1"/>
      <c r="V92" s="1"/>
      <c r="W92" s="1"/>
      <c r="X92" s="1"/>
      <c r="Y92" s="1"/>
      <c r="Z92" s="1"/>
      <c r="AA92" s="1"/>
      <c r="AB92" s="2"/>
      <c r="AC92" s="2"/>
      <c r="AD92" s="2"/>
      <c r="AE92" s="2"/>
      <c r="AF92" s="2"/>
      <c r="AG92" s="32"/>
      <c r="AH92" s="2"/>
      <c r="AI92" s="2"/>
      <c r="AJ92" s="2"/>
      <c r="AK92" s="2"/>
      <c r="AL92" s="2"/>
      <c r="AM92" s="2"/>
      <c r="AN92" s="1"/>
    </row>
  </sheetData>
  <autoFilter ref="B5:AN72" xr:uid="{3AFC1F7A-3C5C-4094-86DF-8BF890658493}"/>
  <mergeCells count="2">
    <mergeCell ref="AF1:AN2"/>
    <mergeCell ref="F1:H1"/>
  </mergeCells>
  <dataValidations disablePrompts="1" count="1">
    <dataValidation type="list" allowBlank="1" showInputMessage="1" showErrorMessage="1" sqref="D2" xr:uid="{CB4053F3-0234-44FF-885A-4109355EC8CA}">
      <formula1>$D$3:$D$4</formula1>
    </dataValidation>
  </dataValidations>
  <printOptions horizontalCentered="1" verticalCentered="1"/>
  <pageMargins left="0.25" right="0.02" top="0.73" bottom="0.72" header="0.5" footer="0.5"/>
  <pageSetup paperSize="5" scale="39" orientation="landscape" horizontalDpi="1200" verticalDpi="1200" r:id="rId1"/>
  <headerFooter alignWithMargins="0">
    <oddHeader>&amp;C&amp;c</oddHeader>
    <oddFooter>&amp;C&amp;14Appendix A&amp;R&amp;14Page 3 of 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565384-B806-4D94-B95A-E50EEEE39BAB}">
  <sheetPr>
    <tabColor rgb="FF00B0F0"/>
  </sheetPr>
  <dimension ref="A1:J53"/>
  <sheetViews>
    <sheetView showGridLines="0" topLeftCell="B1" zoomScaleNormal="100" workbookViewId="0">
      <selection activeCell="F44" sqref="F44"/>
    </sheetView>
  </sheetViews>
  <sheetFormatPr defaultColWidth="9.33203125" defaultRowHeight="12.75" x14ac:dyDescent="0.2"/>
  <cols>
    <col min="1" max="1" width="9.33203125" style="150" hidden="1" customWidth="1"/>
    <col min="2" max="2" width="35.33203125" style="150" customWidth="1"/>
    <col min="3" max="3" width="52.5" style="150" customWidth="1"/>
    <col min="4" max="4" width="57.33203125" style="150" customWidth="1"/>
    <col min="5" max="6" width="46" style="150" customWidth="1"/>
    <col min="7" max="7" width="20" style="150" bestFit="1" customWidth="1"/>
    <col min="8" max="8" width="28.6640625" style="150" bestFit="1" customWidth="1"/>
    <col min="9" max="9" width="19.83203125" style="150" bestFit="1" customWidth="1"/>
    <col min="10" max="10" width="28.6640625" style="150" bestFit="1" customWidth="1"/>
    <col min="11" max="16384" width="9.33203125" style="150"/>
  </cols>
  <sheetData>
    <row r="1" spans="1:10" x14ac:dyDescent="0.2">
      <c r="A1" s="150" t="s">
        <v>396</v>
      </c>
      <c r="B1" s="148" t="s">
        <v>332</v>
      </c>
      <c r="C1" s="148" t="s">
        <v>199</v>
      </c>
      <c r="D1" s="149" t="s">
        <v>333</v>
      </c>
      <c r="E1" s="148" t="s">
        <v>334</v>
      </c>
      <c r="F1" s="148" t="s">
        <v>464</v>
      </c>
      <c r="G1" s="148" t="s">
        <v>335</v>
      </c>
      <c r="H1" s="148" t="s">
        <v>465</v>
      </c>
      <c r="I1" s="148" t="s">
        <v>441</v>
      </c>
      <c r="J1" s="148" t="s">
        <v>466</v>
      </c>
    </row>
    <row r="2" spans="1:10" ht="25.5" x14ac:dyDescent="0.2">
      <c r="A2" s="150">
        <v>3</v>
      </c>
      <c r="B2" s="151" t="s">
        <v>53</v>
      </c>
      <c r="C2" s="152" t="s">
        <v>336</v>
      </c>
      <c r="D2" s="152" t="s">
        <v>337</v>
      </c>
      <c r="E2" s="174" t="s">
        <v>338</v>
      </c>
      <c r="F2" s="175">
        <f>INDEX('2022'!$AF$6:$AF$59,MATCH(A2,'2022'!$B$6:$B$59,0))</f>
        <v>10</v>
      </c>
      <c r="G2" s="170">
        <v>3.4486400175726177</v>
      </c>
      <c r="H2" s="170">
        <f>IFERROR(INDEX('2022'!$AJ:$AJ,MATCH($A2,'2022'!$B:$B,0)),"N/A")</f>
        <v>3.3854375641965668</v>
      </c>
      <c r="I2" s="170">
        <v>4.44864001757262</v>
      </c>
      <c r="J2" s="170">
        <f>IFERROR(INDEX('2022'!$AN:$AN,MATCH($A2,'2022'!$B:$B,0)),"N/A")</f>
        <v>3.234331001897413</v>
      </c>
    </row>
    <row r="3" spans="1:10" x14ac:dyDescent="0.2">
      <c r="A3" s="150">
        <v>4</v>
      </c>
      <c r="B3" s="151" t="s">
        <v>53</v>
      </c>
      <c r="C3" s="152" t="s">
        <v>220</v>
      </c>
      <c r="D3" s="152" t="s">
        <v>221</v>
      </c>
      <c r="E3" s="174" t="s">
        <v>339</v>
      </c>
      <c r="F3" s="175">
        <f>INDEX('2022'!$AF$6:$AF$59,MATCH(A3,'2022'!$B$6:$B$59,0))</f>
        <v>6</v>
      </c>
      <c r="G3" s="170" t="s">
        <v>395</v>
      </c>
      <c r="H3" s="170">
        <f>IFERROR(INDEX('2022'!$AJ:$AJ,MATCH($A3,'2022'!$B:$B,0)),"N/A")</f>
        <v>3.5223006126237459</v>
      </c>
      <c r="I3" s="170" t="s">
        <v>395</v>
      </c>
      <c r="J3" s="170">
        <f>IFERROR(INDEX('2022'!$AN:$AN,MATCH($A3,'2022'!$B:$B,0)),"N/A")</f>
        <v>3.5140576428254247</v>
      </c>
    </row>
    <row r="4" spans="1:10" ht="15" x14ac:dyDescent="0.2">
      <c r="A4" s="150">
        <v>5</v>
      </c>
      <c r="B4" s="151" t="s">
        <v>340</v>
      </c>
      <c r="C4" s="152" t="s">
        <v>341</v>
      </c>
      <c r="D4" s="152" t="s">
        <v>342</v>
      </c>
      <c r="E4" s="174">
        <v>125</v>
      </c>
      <c r="F4" s="175">
        <f>INDEX('2022'!$AF$6:$AF$59,MATCH(A4,'2022'!$B$6:$B$59,0))</f>
        <v>125</v>
      </c>
      <c r="G4" s="170" t="s">
        <v>394</v>
      </c>
      <c r="H4" s="170">
        <f>IFERROR(INDEX('2022'!$AJ:$AJ,MATCH($A4,'2022'!$B:$B,0)),"N/A")</f>
        <v>1.3138468549331175</v>
      </c>
      <c r="I4" s="170" t="s">
        <v>394</v>
      </c>
      <c r="J4" s="170">
        <f>IFERROR(INDEX('2022'!$AN:$AN,MATCH($A4,'2022'!$B:$B,0)),"N/A")</f>
        <v>0.94382313060447787</v>
      </c>
    </row>
    <row r="5" spans="1:10" ht="38.25" x14ac:dyDescent="0.2">
      <c r="A5" s="150">
        <v>8</v>
      </c>
      <c r="B5" s="151" t="s">
        <v>82</v>
      </c>
      <c r="C5" s="152" t="s">
        <v>347</v>
      </c>
      <c r="D5" s="152" t="s">
        <v>348</v>
      </c>
      <c r="E5" s="174" t="s">
        <v>349</v>
      </c>
      <c r="F5" s="175">
        <f>INDEX('2022'!$AF$6:$AF$59,MATCH(A5,'2022'!$B$6:$B$59,0))</f>
        <v>60</v>
      </c>
      <c r="G5" s="170">
        <v>2.6629506297258332</v>
      </c>
      <c r="H5" s="170">
        <f>IFERROR(INDEX('2022'!$AJ:$AJ,MATCH($A5,'2022'!$B:$B,0)),"N/A")</f>
        <v>1.7455064791431836</v>
      </c>
      <c r="I5" s="170">
        <v>2.6629506297258332</v>
      </c>
      <c r="J5" s="170">
        <f>IFERROR(INDEX('2022'!$AN:$AN,MATCH($A5,'2022'!$B:$B,0)),"N/A")</f>
        <v>1.1211935809806821</v>
      </c>
    </row>
    <row r="6" spans="1:10" x14ac:dyDescent="0.2">
      <c r="A6" s="150">
        <v>9</v>
      </c>
      <c r="B6" s="151" t="s">
        <v>350</v>
      </c>
      <c r="C6" s="152" t="s">
        <v>13</v>
      </c>
      <c r="D6" s="152" t="s">
        <v>351</v>
      </c>
      <c r="E6" s="174" t="s">
        <v>352</v>
      </c>
      <c r="F6" s="175">
        <f>INDEX('2022'!$AF$6:$AF$59,MATCH(A6,'2022'!$B$6:$B$59,0))</f>
        <v>2.5</v>
      </c>
      <c r="G6" s="170">
        <v>2.873523690401063</v>
      </c>
      <c r="H6" s="170">
        <f>IFERROR(INDEX('2022'!$AJ:$AJ,MATCH($A6,'2022'!$B:$B,0)),"N/A")</f>
        <v>2.4023605779349948</v>
      </c>
      <c r="I6" s="170">
        <v>2.873523690401063</v>
      </c>
      <c r="J6" s="170">
        <f>IFERROR(INDEX('2022'!$AN:$AN,MATCH($A6,'2022'!$B:$B,0)),"N/A")</f>
        <v>2.386253468620859</v>
      </c>
    </row>
    <row r="7" spans="1:10" ht="25.5" x14ac:dyDescent="0.2">
      <c r="A7" s="150">
        <v>11</v>
      </c>
      <c r="B7" s="151" t="s">
        <v>48</v>
      </c>
      <c r="C7" s="152" t="s">
        <v>89</v>
      </c>
      <c r="D7" s="152" t="s">
        <v>354</v>
      </c>
      <c r="E7" s="174">
        <v>2500</v>
      </c>
      <c r="F7" s="175">
        <f>INDEX('2022'!$AF$6:$AF$59,MATCH(A7,'2022'!$B$6:$B$59,0))</f>
        <v>2500</v>
      </c>
      <c r="G7" s="170">
        <v>3.3851691710314289</v>
      </c>
      <c r="H7" s="170">
        <f>IFERROR(INDEX('2022'!$AJ:$AJ,MATCH($A7,'2022'!$B:$B,0)),"N/A")</f>
        <v>2.4946481048990701</v>
      </c>
      <c r="I7" s="170">
        <v>3.3851691710314289</v>
      </c>
      <c r="J7" s="170">
        <f>IFERROR(INDEX('2022'!$AN:$AN,MATCH($A7,'2022'!$B:$B,0)),"N/A")</f>
        <v>2.0389828862457802</v>
      </c>
    </row>
    <row r="8" spans="1:10" x14ac:dyDescent="0.2">
      <c r="A8" s="150">
        <v>12</v>
      </c>
      <c r="B8" s="151" t="s">
        <v>355</v>
      </c>
      <c r="C8" s="152" t="s">
        <v>356</v>
      </c>
      <c r="D8" s="152" t="s">
        <v>357</v>
      </c>
      <c r="E8" s="174" t="s">
        <v>358</v>
      </c>
      <c r="F8" s="175">
        <f>INDEX('2022'!$AF$6:$AF$59,MATCH(A8,'2022'!$B$6:$B$59,0))</f>
        <v>0</v>
      </c>
      <c r="G8" s="170">
        <v>1.35</v>
      </c>
      <c r="H8" s="170" t="str">
        <f>IFERROR(INDEX('2022'!$AJ:$AJ,MATCH($A8,'2022'!$B:$B,0)),"N/A")</f>
        <v>-</v>
      </c>
      <c r="I8" s="170">
        <v>1.35</v>
      </c>
      <c r="J8" s="170" t="str">
        <f>IFERROR(INDEX('2022'!$AN:$AN,MATCH($A8,'2022'!$B:$B,0)),"N/A")</f>
        <v>-</v>
      </c>
    </row>
    <row r="9" spans="1:10" ht="15" x14ac:dyDescent="0.2">
      <c r="A9" s="150">
        <v>13</v>
      </c>
      <c r="B9" s="151" t="s">
        <v>157</v>
      </c>
      <c r="C9" s="152" t="s">
        <v>359</v>
      </c>
      <c r="D9" s="152" t="s">
        <v>360</v>
      </c>
      <c r="E9" s="174" t="s">
        <v>361</v>
      </c>
      <c r="F9" s="175">
        <f>INDEX('2022'!$AF$6:$AF$59,MATCH(A9,'2022'!$B$6:$B$59,0))</f>
        <v>1.25</v>
      </c>
      <c r="G9" s="170">
        <v>3.9468743009827252</v>
      </c>
      <c r="H9" s="170">
        <f>IFERROR(INDEX('2022'!$AJ:$AJ,MATCH($A9,'2022'!$B:$B,0)),"N/A")</f>
        <v>1.354759991256097</v>
      </c>
      <c r="I9" s="170">
        <v>3.9468743009827252</v>
      </c>
      <c r="J9" s="170">
        <f>IFERROR(INDEX('2022'!$AN:$AN,MATCH($A9,'2022'!$B:$B,0)),"N/A")</f>
        <v>1.4498940929287141</v>
      </c>
    </row>
    <row r="10" spans="1:10" ht="15" x14ac:dyDescent="0.2">
      <c r="A10" s="150">
        <v>14</v>
      </c>
      <c r="B10" s="151" t="s">
        <v>413</v>
      </c>
      <c r="C10" s="152" t="s">
        <v>353</v>
      </c>
      <c r="D10" s="152" t="s">
        <v>362</v>
      </c>
      <c r="E10" s="174">
        <v>800</v>
      </c>
      <c r="F10" s="175">
        <f>INDEX('2022'!$AF$6:$AF$59,MATCH(A10,'2022'!$B$6:$B$59,0))</f>
        <v>800</v>
      </c>
      <c r="G10" s="170" t="s">
        <v>394</v>
      </c>
      <c r="H10" s="170">
        <f>IFERROR(INDEX('2022'!$AJ:$AJ,MATCH($A10,'2022'!$B:$B,0)),"N/A")</f>
        <v>2.1311315482346798</v>
      </c>
      <c r="I10" s="170" t="s">
        <v>394</v>
      </c>
      <c r="J10" s="170">
        <f>IFERROR(INDEX('2022'!$AN:$AN,MATCH($A10,'2022'!$B:$B,0)),"N/A")</f>
        <v>1.9966541068672017</v>
      </c>
    </row>
    <row r="11" spans="1:10" ht="15" x14ac:dyDescent="0.2">
      <c r="A11" s="150" t="s">
        <v>410</v>
      </c>
      <c r="B11" s="151" t="s">
        <v>414</v>
      </c>
      <c r="C11" s="152" t="s">
        <v>353</v>
      </c>
      <c r="D11" s="152" t="s">
        <v>362</v>
      </c>
      <c r="E11" s="174">
        <v>800</v>
      </c>
      <c r="F11" s="175">
        <f>INDEX('2022'!$AF$6:$AF$59,MATCH(A11,'2022'!$B$6:$B$59,0))</f>
        <v>800</v>
      </c>
      <c r="G11" s="170">
        <v>2.0571389565544456</v>
      </c>
      <c r="H11" s="170">
        <f>IFERROR(INDEX('2022'!$AJ:$AJ,MATCH($A11,'2022'!$B:$B,0)),"N/A")</f>
        <v>1.6847402865262542</v>
      </c>
      <c r="I11" s="170">
        <v>2.0571389565544456</v>
      </c>
      <c r="J11" s="170">
        <f>IFERROR(INDEX('2022'!$AN:$AN,MATCH($A11,'2022'!$B:$B,0)),"N/A")</f>
        <v>1.527428753178304</v>
      </c>
    </row>
    <row r="12" spans="1:10" ht="15" x14ac:dyDescent="0.2">
      <c r="A12" s="150" t="s">
        <v>411</v>
      </c>
      <c r="B12" s="151" t="s">
        <v>415</v>
      </c>
      <c r="C12" s="152" t="s">
        <v>353</v>
      </c>
      <c r="D12" s="152" t="s">
        <v>362</v>
      </c>
      <c r="E12" s="174">
        <v>800</v>
      </c>
      <c r="F12" s="175">
        <f>INDEX('2022'!$AF$6:$AF$59,MATCH(A12,'2022'!$B$6:$B$59,0))</f>
        <v>800</v>
      </c>
      <c r="G12" s="170">
        <v>3.54</v>
      </c>
      <c r="H12" s="170">
        <f>IFERROR(INDEX('2022'!$AJ:$AJ,MATCH($A12,'2022'!$B:$B,0)),"N/A")</f>
        <v>2.5633581382578128</v>
      </c>
      <c r="I12" s="170">
        <v>3.54</v>
      </c>
      <c r="J12" s="170">
        <f>IFERROR(INDEX('2022'!$AN:$AN,MATCH($A12,'2022'!$B:$B,0)),"N/A")</f>
        <v>2.4818477665249352</v>
      </c>
    </row>
    <row r="13" spans="1:10" ht="15" x14ac:dyDescent="0.2">
      <c r="A13" s="150" t="s">
        <v>412</v>
      </c>
      <c r="B13" s="151" t="s">
        <v>416</v>
      </c>
      <c r="C13" s="152" t="s">
        <v>353</v>
      </c>
      <c r="D13" s="152" t="s">
        <v>362</v>
      </c>
      <c r="E13" s="174">
        <v>800</v>
      </c>
      <c r="F13" s="175">
        <f>INDEX('2022'!$AF$6:$AF$59,MATCH(A13,'2022'!$B$6:$B$59,0))</f>
        <v>800</v>
      </c>
      <c r="G13" s="170" t="s">
        <v>394</v>
      </c>
      <c r="H13" s="170">
        <f>IFERROR(INDEX('2022'!$AJ:$AJ,MATCH($A13,'2022'!$B:$B,0)),"N/A")</f>
        <v>1.3098769499107388</v>
      </c>
      <c r="I13" s="170" t="s">
        <v>394</v>
      </c>
      <c r="J13" s="170">
        <f>IFERROR(INDEX('2022'!$AN:$AN,MATCH($A13,'2022'!$B:$B,0)),"N/A")</f>
        <v>1.1561954492566753</v>
      </c>
    </row>
    <row r="14" spans="1:10" x14ac:dyDescent="0.2">
      <c r="A14" s="150">
        <v>15</v>
      </c>
      <c r="B14" s="151" t="s">
        <v>60</v>
      </c>
      <c r="C14" s="152" t="s">
        <v>363</v>
      </c>
      <c r="D14" s="152" t="s">
        <v>364</v>
      </c>
      <c r="E14" s="174">
        <v>450</v>
      </c>
      <c r="F14" s="175">
        <f>INDEX('2022'!$AF$6:$AF$59,MATCH(A14,'2022'!$B$6:$B$59,0))</f>
        <v>700</v>
      </c>
      <c r="G14" s="170">
        <v>2.0504305189060728</v>
      </c>
      <c r="H14" s="170">
        <f>IFERROR(INDEX('2022'!$AJ:$AJ,MATCH($A14,'2022'!$B:$B,0)),"N/A")</f>
        <v>3.9200149942557156</v>
      </c>
      <c r="I14" s="170">
        <v>2.0504305189060728</v>
      </c>
      <c r="J14" s="170">
        <f>IFERROR(INDEX('2022'!$AN:$AN,MATCH($A14,'2022'!$B:$B,0)),"N/A")</f>
        <v>2.5590986121297998</v>
      </c>
    </row>
    <row r="15" spans="1:10" ht="25.5" x14ac:dyDescent="0.2">
      <c r="A15" s="150">
        <v>17</v>
      </c>
      <c r="B15" s="151" t="s">
        <v>404</v>
      </c>
      <c r="C15" s="152" t="s">
        <v>353</v>
      </c>
      <c r="D15" s="152" t="s">
        <v>365</v>
      </c>
      <c r="E15" s="174">
        <v>500</v>
      </c>
      <c r="F15" s="175">
        <f>INDEX('2022'!$AF$6:$AF$59,MATCH(A15,'2022'!$B$6:$B$59,0))</f>
        <v>600</v>
      </c>
      <c r="G15" s="170">
        <v>2.2200000000000002</v>
      </c>
      <c r="H15" s="170">
        <f>IFERROR(INDEX('2022'!$AJ:$AJ,MATCH($A15,'2022'!$B:$B,0)),"N/A")</f>
        <v>1.634285210861145</v>
      </c>
      <c r="I15" s="170">
        <v>2.2200000000000002</v>
      </c>
      <c r="J15" s="170">
        <f>IFERROR(INDEX('2022'!$AN:$AN,MATCH($A15,'2022'!$B:$B,0)),"N/A")</f>
        <v>1.111251214540073</v>
      </c>
    </row>
    <row r="16" spans="1:10" ht="25.5" x14ac:dyDescent="0.2">
      <c r="A16" s="150" t="s">
        <v>401</v>
      </c>
      <c r="B16" s="151" t="s">
        <v>405</v>
      </c>
      <c r="C16" s="152" t="s">
        <v>353</v>
      </c>
      <c r="D16" s="152" t="s">
        <v>365</v>
      </c>
      <c r="E16" s="174">
        <v>500</v>
      </c>
      <c r="F16" s="175">
        <f>INDEX('2022'!$AF$6:$AF$59,MATCH(A16,'2022'!$B$6:$B$59,0))</f>
        <v>600</v>
      </c>
      <c r="G16" s="170" t="s">
        <v>408</v>
      </c>
      <c r="H16" s="170">
        <f>IFERROR(INDEX('2022'!$AJ:$AJ,MATCH($A16,'2022'!$B:$B,0)),"N/A")</f>
        <v>1.1980187082100837</v>
      </c>
      <c r="I16" s="170" t="s">
        <v>440</v>
      </c>
      <c r="J16" s="170">
        <f>IFERROR(INDEX('2022'!$AN:$AN,MATCH($A16,'2022'!$B:$B,0)),"N/A")</f>
        <v>0.75300967649273487</v>
      </c>
    </row>
    <row r="17" spans="1:10" ht="25.5" x14ac:dyDescent="0.2">
      <c r="A17" s="150" t="s">
        <v>402</v>
      </c>
      <c r="B17" s="151" t="s">
        <v>406</v>
      </c>
      <c r="C17" s="152" t="s">
        <v>353</v>
      </c>
      <c r="D17" s="152" t="s">
        <v>365</v>
      </c>
      <c r="E17" s="174">
        <v>500</v>
      </c>
      <c r="F17" s="175">
        <f>INDEX('2022'!$AF$6:$AF$59,MATCH(A17,'2022'!$B$6:$B$59,0))</f>
        <v>600</v>
      </c>
      <c r="G17" s="170">
        <v>3</v>
      </c>
      <c r="H17" s="170">
        <f>IFERROR(INDEX('2022'!$AJ:$AJ,MATCH($A17,'2022'!$B:$B,0)),"N/A")</f>
        <v>2.1220501062710238</v>
      </c>
      <c r="I17" s="170">
        <v>3</v>
      </c>
      <c r="J17" s="170">
        <f>IFERROR(INDEX('2022'!$AN:$AN,MATCH($A17,'2022'!$B:$B,0)),"N/A")</f>
        <v>1.5881614947540346</v>
      </c>
    </row>
    <row r="18" spans="1:10" ht="25.5" x14ac:dyDescent="0.2">
      <c r="A18" s="150" t="s">
        <v>403</v>
      </c>
      <c r="B18" s="151" t="s">
        <v>407</v>
      </c>
      <c r="C18" s="152" t="s">
        <v>353</v>
      </c>
      <c r="D18" s="152" t="s">
        <v>365</v>
      </c>
      <c r="E18" s="174">
        <v>500</v>
      </c>
      <c r="F18" s="175">
        <f>INDEX('2022'!$AF$6:$AF$59,MATCH(A18,'2022'!$B$6:$B$59,0))</f>
        <v>600</v>
      </c>
      <c r="G18" s="170">
        <v>1.1200000000000001</v>
      </c>
      <c r="H18" s="170">
        <f>IFERROR(INDEX('2022'!$AJ:$AJ,MATCH($A18,'2022'!$B:$B,0)),"N/A")</f>
        <v>0.87616257296073841</v>
      </c>
      <c r="I18" s="170">
        <v>1.1200000000000001</v>
      </c>
      <c r="J18" s="170">
        <f>IFERROR(INDEX('2022'!$AN:$AN,MATCH($A18,'2022'!$B:$B,0)),"N/A")</f>
        <v>0.52161002564828662</v>
      </c>
    </row>
    <row r="19" spans="1:10" x14ac:dyDescent="0.2">
      <c r="A19" s="150">
        <v>18</v>
      </c>
      <c r="B19" s="151" t="s">
        <v>366</v>
      </c>
      <c r="C19" s="152" t="s">
        <v>155</v>
      </c>
      <c r="D19" s="152" t="s">
        <v>351</v>
      </c>
      <c r="E19" s="174" t="s">
        <v>367</v>
      </c>
      <c r="F19" s="175">
        <f>INDEX('2022'!$AF$6:$AF$59,MATCH(A19,'2022'!$B$6:$B$59,0))</f>
        <v>5</v>
      </c>
      <c r="G19" s="170" t="s">
        <v>394</v>
      </c>
      <c r="H19" s="170">
        <f>IFERROR(INDEX('2022'!$AJ:$AJ,MATCH($A19,'2022'!$B:$B,0)),"N/A")</f>
        <v>1.6815614754380734</v>
      </c>
      <c r="I19" s="170" t="s">
        <v>394</v>
      </c>
      <c r="J19" s="170">
        <f>IFERROR(INDEX('2022'!$AN:$AN,MATCH($A19,'2022'!$B:$B,0)),"N/A")</f>
        <v>0.6354345053824344</v>
      </c>
    </row>
    <row r="20" spans="1:10" ht="15" x14ac:dyDescent="0.2">
      <c r="A20" s="150">
        <v>19</v>
      </c>
      <c r="B20" s="151" t="s">
        <v>368</v>
      </c>
      <c r="C20" s="152" t="s">
        <v>369</v>
      </c>
      <c r="D20" s="152" t="s">
        <v>419</v>
      </c>
      <c r="E20" s="174" t="s">
        <v>421</v>
      </c>
      <c r="F20" s="175">
        <f>INDEX('2022'!$AF$6:$AF$59,MATCH(A20,'2022'!$B$6:$B$59,0))</f>
        <v>2</v>
      </c>
      <c r="G20" s="170">
        <v>4.06190097143919</v>
      </c>
      <c r="H20" s="170">
        <f>IFERROR(INDEX('2022'!$AJ:$AJ,MATCH($A20,'2022'!$B:$B,0)),"N/A")</f>
        <v>3.5352991423619011</v>
      </c>
      <c r="I20" s="170">
        <v>4.06190097143919</v>
      </c>
      <c r="J20" s="170">
        <f>IFERROR(INDEX('2022'!$AN:$AN,MATCH($A20,'2022'!$B:$B,0)),"N/A")</f>
        <v>4.5760010593153302</v>
      </c>
    </row>
    <row r="21" spans="1:10" ht="15" x14ac:dyDescent="0.2">
      <c r="A21" s="150" t="s">
        <v>417</v>
      </c>
      <c r="B21" s="151" t="s">
        <v>368</v>
      </c>
      <c r="C21" s="152" t="s">
        <v>369</v>
      </c>
      <c r="D21" s="152" t="s">
        <v>418</v>
      </c>
      <c r="E21" s="174" t="s">
        <v>420</v>
      </c>
      <c r="F21" s="175">
        <f>INDEX('2022'!$AF$6:$AF$59,MATCH(A21,'2022'!$B$6:$B$59,0))</f>
        <v>2.5</v>
      </c>
      <c r="G21" s="170">
        <v>3.5059233399618752</v>
      </c>
      <c r="H21" s="170">
        <f>IFERROR(INDEX('2022'!$AJ:$AJ,MATCH($A21,'2022'!$B:$B,0)),"N/A")</f>
        <v>3.1065267297083805</v>
      </c>
      <c r="I21" s="170">
        <v>3.5059233399618752</v>
      </c>
      <c r="J21" s="170">
        <f>IFERROR(INDEX('2022'!$AN:$AN,MATCH($A21,'2022'!$B:$B,0)),"N/A")</f>
        <v>4.1348068469781873</v>
      </c>
    </row>
    <row r="22" spans="1:10" ht="15" x14ac:dyDescent="0.2">
      <c r="A22" s="150" t="s">
        <v>423</v>
      </c>
      <c r="B22" s="151" t="s">
        <v>368</v>
      </c>
      <c r="C22" s="152" t="s">
        <v>370</v>
      </c>
      <c r="D22" s="152" t="s">
        <v>437</v>
      </c>
      <c r="E22" s="174" t="s">
        <v>425</v>
      </c>
      <c r="F22" s="175">
        <f>INDEX('2022'!$AF$6:$AF$59,MATCH(A22,'2022'!$B$6:$B$59,0))</f>
        <v>2</v>
      </c>
      <c r="G22" s="170">
        <v>3.8412989875454975</v>
      </c>
      <c r="H22" s="170">
        <f>IFERROR(INDEX('2022'!$AJ:$AJ,MATCH($A22,'2022'!$B:$B,0)),"N/A")</f>
        <v>3.8887020498980127</v>
      </c>
      <c r="I22" s="170">
        <v>3.8412989875454975</v>
      </c>
      <c r="J22" s="170">
        <f>IFERROR(INDEX('2022'!$AN:$AN,MATCH($A22,'2022'!$B:$B,0)),"N/A")</f>
        <v>3.7095945056960211</v>
      </c>
    </row>
    <row r="23" spans="1:10" ht="15" x14ac:dyDescent="0.2">
      <c r="A23" s="150" t="s">
        <v>424</v>
      </c>
      <c r="B23" s="151" t="s">
        <v>368</v>
      </c>
      <c r="C23" s="152" t="s">
        <v>371</v>
      </c>
      <c r="D23" s="152" t="s">
        <v>422</v>
      </c>
      <c r="E23" s="174" t="s">
        <v>426</v>
      </c>
      <c r="F23" s="175">
        <f>INDEX('2022'!$AF$6:$AF$59,MATCH(A23,'2022'!$B$6:$B$59,0))</f>
        <v>2</v>
      </c>
      <c r="G23" s="170">
        <v>3.4771627799051479</v>
      </c>
      <c r="H23" s="170">
        <f>IFERROR(INDEX('2022'!$AJ:$AJ,MATCH($A23,'2022'!$B:$B,0)),"N/A")</f>
        <v>2.5015169603910161</v>
      </c>
      <c r="I23" s="170">
        <v>3.4771627799051479</v>
      </c>
      <c r="J23" s="170">
        <f>IFERROR(INDEX('2022'!$AN:$AN,MATCH($A23,'2022'!$B:$B,0)),"N/A")</f>
        <v>2.751349320225188</v>
      </c>
    </row>
    <row r="24" spans="1:10" ht="38.25" x14ac:dyDescent="0.2">
      <c r="A24" s="150">
        <v>24</v>
      </c>
      <c r="B24" s="151" t="s">
        <v>372</v>
      </c>
      <c r="C24" s="152" t="s">
        <v>373</v>
      </c>
      <c r="D24" s="152" t="s">
        <v>374</v>
      </c>
      <c r="E24" s="174">
        <v>2500</v>
      </c>
      <c r="F24" s="175">
        <f>INDEX('2022'!$AF$6:$AF$59,MATCH(A24,'2022'!$B$6:$B$59,0))</f>
        <v>9000</v>
      </c>
      <c r="G24" s="170">
        <v>2.1645101206948216</v>
      </c>
      <c r="H24" s="170">
        <f>IFERROR(INDEX('2022'!$AJ:$AJ,MATCH($A24,'2022'!$B:$B,0)),"N/A")</f>
        <v>1.4295891079250473</v>
      </c>
      <c r="I24" s="170">
        <v>2.1645101206948216</v>
      </c>
      <c r="J24" s="170">
        <f>IFERROR(INDEX('2022'!$AN:$AN,MATCH($A24,'2022'!$B:$B,0)),"N/A")</f>
        <v>1.0467629463336474</v>
      </c>
    </row>
    <row r="25" spans="1:10" ht="25.5" x14ac:dyDescent="0.2">
      <c r="A25" s="150">
        <v>25</v>
      </c>
      <c r="B25" s="151" t="s">
        <v>375</v>
      </c>
      <c r="C25" s="152" t="s">
        <v>376</v>
      </c>
      <c r="D25" s="152" t="s">
        <v>430</v>
      </c>
      <c r="E25" s="174" t="s">
        <v>429</v>
      </c>
      <c r="F25" s="175">
        <f>INDEX('2022'!$AF$6:$AF$59,MATCH(A25,'2022'!$B$6:$B$59,0))</f>
        <v>15</v>
      </c>
      <c r="G25" s="170" t="s">
        <v>394</v>
      </c>
      <c r="H25" s="170">
        <f>IFERROR(INDEX('2022'!$AJ:$AJ,MATCH($A25,'2022'!$B:$B,0)),"N/A")</f>
        <v>3.1704499390413448</v>
      </c>
      <c r="I25" s="170" t="s">
        <v>394</v>
      </c>
      <c r="J25" s="170">
        <f>IFERROR(INDEX('2022'!$AN:$AN,MATCH($A25,'2022'!$B:$B,0)),"N/A")</f>
        <v>4.2694760007816894</v>
      </c>
    </row>
    <row r="26" spans="1:10" ht="25.5" x14ac:dyDescent="0.2">
      <c r="A26" s="150" t="s">
        <v>431</v>
      </c>
      <c r="B26" s="151" t="s">
        <v>375</v>
      </c>
      <c r="C26" s="152" t="s">
        <v>376</v>
      </c>
      <c r="D26" s="152" t="s">
        <v>427</v>
      </c>
      <c r="E26" s="174" t="s">
        <v>428</v>
      </c>
      <c r="F26" s="175">
        <f>INDEX('2022'!$AF$6:$AF$59,MATCH(A26,'2022'!$B$6:$B$59,0))</f>
        <v>25</v>
      </c>
      <c r="G26" s="170" t="s">
        <v>394</v>
      </c>
      <c r="H26" s="170">
        <f>IFERROR(INDEX('2022'!$AJ:$AJ,MATCH($A26,'2022'!$B:$B,0)),"N/A")</f>
        <v>3.8495438836014531</v>
      </c>
      <c r="I26" s="170" t="s">
        <v>394</v>
      </c>
      <c r="J26" s="170">
        <f>IFERROR(INDEX('2022'!$AN:$AN,MATCH($A26,'2022'!$B:$B,0)),"N/A")</f>
        <v>4.5082994702302361</v>
      </c>
    </row>
    <row r="27" spans="1:10" x14ac:dyDescent="0.2">
      <c r="A27" s="150">
        <v>26</v>
      </c>
      <c r="B27" s="151" t="s">
        <v>10</v>
      </c>
      <c r="C27" s="152" t="s">
        <v>377</v>
      </c>
      <c r="D27" s="152" t="s">
        <v>20</v>
      </c>
      <c r="E27" s="174" t="s">
        <v>378</v>
      </c>
      <c r="F27" s="175">
        <f>INDEX('2022'!$AF$6:$AF$59,MATCH(A27,'2022'!$B$6:$B$59,0))</f>
        <v>15</v>
      </c>
      <c r="G27" s="170">
        <v>3.3426800766400695</v>
      </c>
      <c r="H27" s="170">
        <f>IFERROR(INDEX('2022'!$AJ:$AJ,MATCH($A27,'2022'!$B:$B,0)),"N/A")</f>
        <v>1.6815064585252308</v>
      </c>
      <c r="I27" s="170">
        <v>4.3426800766400699</v>
      </c>
      <c r="J27" s="170">
        <f>IFERROR(INDEX('2022'!$AN:$AN,MATCH($A27,'2022'!$B:$B,0)),"N/A")</f>
        <v>1.2828154218471861</v>
      </c>
    </row>
    <row r="28" spans="1:10" x14ac:dyDescent="0.2">
      <c r="A28" s="150">
        <v>27</v>
      </c>
      <c r="B28" s="151" t="s">
        <v>379</v>
      </c>
      <c r="C28" s="152" t="s">
        <v>380</v>
      </c>
      <c r="D28" s="152" t="s">
        <v>381</v>
      </c>
      <c r="E28" s="174">
        <v>200</v>
      </c>
      <c r="F28" s="175">
        <f>INDEX('2022'!$AF$6:$AF$59,MATCH(A28,'2022'!$B$6:$B$59,0))</f>
        <v>200</v>
      </c>
      <c r="G28" s="170" t="s">
        <v>394</v>
      </c>
      <c r="H28" s="170">
        <f>IFERROR(INDEX('2022'!$AJ:$AJ,MATCH($A28,'2022'!$B:$B,0)),"N/A")</f>
        <v>2.4594079350851734</v>
      </c>
      <c r="I28" s="170" t="s">
        <v>394</v>
      </c>
      <c r="J28" s="170">
        <f>IFERROR(INDEX('2022'!$AN:$AN,MATCH($A28,'2022'!$B:$B,0)),"N/A")</f>
        <v>1.9610118065095854</v>
      </c>
    </row>
    <row r="29" spans="1:10" x14ac:dyDescent="0.2">
      <c r="A29" s="150">
        <v>28</v>
      </c>
      <c r="B29" s="151" t="s">
        <v>105</v>
      </c>
      <c r="C29" s="152" t="s">
        <v>382</v>
      </c>
      <c r="D29" s="152" t="s">
        <v>435</v>
      </c>
      <c r="E29" s="174" t="s">
        <v>434</v>
      </c>
      <c r="F29" s="175">
        <f>INDEX('2022'!$AF$6:$AF$59,MATCH(A29,'2022'!$B$6:$B$59,0))</f>
        <v>120</v>
      </c>
      <c r="G29" s="170">
        <v>2.4654874650053373</v>
      </c>
      <c r="H29" s="170">
        <f>IFERROR(INDEX('2022'!$AJ:$AJ,MATCH($A29,'2022'!$B:$B,0)),"N/A")</f>
        <v>1.091141966789823</v>
      </c>
      <c r="I29" s="170">
        <v>2.4654874650053373</v>
      </c>
      <c r="J29" s="170">
        <f>IFERROR(INDEX('2022'!$AN:$AN,MATCH($A29,'2022'!$B:$B,0)),"N/A")</f>
        <v>0.94438124015082703</v>
      </c>
    </row>
    <row r="30" spans="1:10" x14ac:dyDescent="0.2">
      <c r="A30" s="150" t="s">
        <v>436</v>
      </c>
      <c r="B30" s="151" t="s">
        <v>105</v>
      </c>
      <c r="C30" s="152" t="s">
        <v>382</v>
      </c>
      <c r="D30" s="152" t="s">
        <v>432</v>
      </c>
      <c r="E30" s="174" t="s">
        <v>433</v>
      </c>
      <c r="F30" s="175">
        <f>INDEX('2022'!$AF$6:$AF$59,MATCH(A30,'2022'!$B$6:$B$59,0))</f>
        <v>150</v>
      </c>
      <c r="G30" s="170">
        <v>3.478506297906073</v>
      </c>
      <c r="H30" s="170">
        <f>IFERROR(INDEX('2022'!$AJ:$AJ,MATCH($A30,'2022'!$B:$B,0)),"N/A")</f>
        <v>1.3210693515750385</v>
      </c>
      <c r="I30" s="170">
        <v>3.478506297906073</v>
      </c>
      <c r="J30" s="170">
        <f>IFERROR(INDEX('2022'!$AN:$AN,MATCH($A30,'2022'!$B:$B,0)),"N/A")</f>
        <v>2.0022857556519442</v>
      </c>
    </row>
    <row r="31" spans="1:10" x14ac:dyDescent="0.2">
      <c r="A31" s="150">
        <v>29</v>
      </c>
      <c r="B31" s="151" t="s">
        <v>383</v>
      </c>
      <c r="C31" s="152" t="s">
        <v>384</v>
      </c>
      <c r="D31" s="152" t="s">
        <v>351</v>
      </c>
      <c r="E31" s="174" t="s">
        <v>367</v>
      </c>
      <c r="F31" s="175">
        <f>INDEX('2022'!$AF$6:$AF$59,MATCH(A31,'2022'!$B$6:$B$59,0))</f>
        <v>5</v>
      </c>
      <c r="G31" s="170">
        <v>2.8012494252211919</v>
      </c>
      <c r="H31" s="170">
        <f>IFERROR(INDEX('2022'!$AJ:$AJ,MATCH($A31,'2022'!$B:$B,0)),"N/A")</f>
        <v>2.0945229117349511</v>
      </c>
      <c r="I31" s="170">
        <v>2.8012494252211919</v>
      </c>
      <c r="J31" s="170">
        <f>IFERROR(INDEX('2022'!$AN:$AN,MATCH($A31,'2022'!$B:$B,0)),"N/A")</f>
        <v>1.6053346856184836</v>
      </c>
    </row>
    <row r="32" spans="1:10" s="157" customFormat="1" ht="15" x14ac:dyDescent="0.2">
      <c r="A32" s="150">
        <v>30</v>
      </c>
      <c r="B32" s="151" t="s">
        <v>385</v>
      </c>
      <c r="C32" s="152" t="s">
        <v>446</v>
      </c>
      <c r="D32" s="152" t="s">
        <v>447</v>
      </c>
      <c r="E32" s="174" t="s">
        <v>386</v>
      </c>
      <c r="F32" s="175">
        <f>INDEX('2022'!$AF$6:$AF$59,MATCH(A32,'2022'!$B$6:$B$59,0))</f>
        <v>7.5</v>
      </c>
      <c r="G32" s="170">
        <v>9.177943479594612</v>
      </c>
      <c r="H32" s="170">
        <f>IFERROR(INDEX('2022'!$AJ:$AJ,MATCH($A32,'2022'!$B:$B,0)),"N/A")</f>
        <v>3.2611654194063187</v>
      </c>
      <c r="I32" s="170">
        <v>9.177943479594612</v>
      </c>
      <c r="J32" s="170">
        <f>IFERROR(INDEX('2022'!$AN:$AN,MATCH($A32,'2022'!$B:$B,0)),"N/A")</f>
        <v>1.0664701992459731</v>
      </c>
    </row>
    <row r="33" spans="1:10" s="169" customFormat="1" ht="15" x14ac:dyDescent="0.2">
      <c r="A33" s="150" t="s">
        <v>409</v>
      </c>
      <c r="B33" s="151" t="s">
        <v>385</v>
      </c>
      <c r="C33" s="152" t="s">
        <v>438</v>
      </c>
      <c r="D33" s="152" t="s">
        <v>438</v>
      </c>
      <c r="E33" s="174" t="s">
        <v>395</v>
      </c>
      <c r="F33" s="175">
        <f>INDEX('2022'!$AF$6:$AF$59,MATCH(A33,'2022'!$B$6:$B$59,0))</f>
        <v>9</v>
      </c>
      <c r="G33" s="170" t="s">
        <v>395</v>
      </c>
      <c r="H33" s="170">
        <f>IFERROR(INDEX('2022'!$AJ:$AJ,MATCH($A33,'2022'!$B:$B,0)),"N/A")</f>
        <v>3.0519014473818946</v>
      </c>
      <c r="I33" s="170" t="s">
        <v>395</v>
      </c>
      <c r="J33" s="170">
        <f>IFERROR(INDEX('2022'!$AN:$AN,MATCH($A33,'2022'!$B:$B,0)),"N/A")</f>
        <v>1.0931093932500122</v>
      </c>
    </row>
    <row r="34" spans="1:10" x14ac:dyDescent="0.2">
      <c r="B34" s="151" t="s">
        <v>14</v>
      </c>
      <c r="C34" s="152" t="s">
        <v>14</v>
      </c>
      <c r="D34" s="152" t="s">
        <v>152</v>
      </c>
      <c r="E34" s="174">
        <v>1000</v>
      </c>
      <c r="F34" s="175">
        <v>0</v>
      </c>
      <c r="G34" s="170"/>
      <c r="H34" s="170"/>
      <c r="I34" s="170"/>
      <c r="J34" s="170"/>
    </row>
    <row r="35" spans="1:10" x14ac:dyDescent="0.2">
      <c r="B35" s="151" t="s">
        <v>138</v>
      </c>
      <c r="C35" s="152" t="s">
        <v>15</v>
      </c>
      <c r="D35" s="152" t="s">
        <v>98</v>
      </c>
      <c r="E35" s="174">
        <v>750</v>
      </c>
      <c r="F35" s="175">
        <v>0</v>
      </c>
      <c r="G35" s="170"/>
      <c r="H35" s="170"/>
      <c r="I35" s="170"/>
      <c r="J35" s="170"/>
    </row>
    <row r="36" spans="1:10" x14ac:dyDescent="0.2">
      <c r="B36" s="151" t="s">
        <v>139</v>
      </c>
      <c r="C36" s="152" t="s">
        <v>15</v>
      </c>
      <c r="D36" s="152" t="s">
        <v>98</v>
      </c>
      <c r="E36" s="174">
        <v>750</v>
      </c>
      <c r="F36" s="175">
        <v>0</v>
      </c>
      <c r="G36" s="170"/>
      <c r="H36" s="170"/>
      <c r="I36" s="170"/>
      <c r="J36" s="170"/>
    </row>
    <row r="37" spans="1:10" x14ac:dyDescent="0.2">
      <c r="B37" s="151" t="s">
        <v>97</v>
      </c>
      <c r="C37" s="152" t="s">
        <v>15</v>
      </c>
      <c r="D37" s="152" t="s">
        <v>98</v>
      </c>
      <c r="E37" s="174">
        <v>750</v>
      </c>
      <c r="F37" s="175">
        <v>0</v>
      </c>
      <c r="G37" s="170"/>
      <c r="H37" s="170"/>
      <c r="I37" s="170"/>
      <c r="J37" s="170"/>
    </row>
    <row r="38" spans="1:10" x14ac:dyDescent="0.2">
      <c r="B38" s="151" t="s">
        <v>140</v>
      </c>
      <c r="C38" s="152" t="s">
        <v>15</v>
      </c>
      <c r="D38" s="152" t="s">
        <v>98</v>
      </c>
      <c r="E38" s="174">
        <v>750</v>
      </c>
      <c r="F38" s="175">
        <v>0</v>
      </c>
      <c r="G38" s="170"/>
      <c r="H38" s="170"/>
      <c r="I38" s="170"/>
      <c r="J38" s="170"/>
    </row>
    <row r="39" spans="1:10" x14ac:dyDescent="0.2">
      <c r="B39" s="151" t="s">
        <v>119</v>
      </c>
      <c r="C39" s="152" t="s">
        <v>120</v>
      </c>
      <c r="D39" s="152" t="s">
        <v>121</v>
      </c>
      <c r="E39" s="174">
        <v>1.25</v>
      </c>
      <c r="F39" s="175">
        <v>0</v>
      </c>
      <c r="G39" s="170"/>
      <c r="H39" s="170"/>
      <c r="I39" s="170"/>
      <c r="J39" s="170"/>
    </row>
    <row r="40" spans="1:10" x14ac:dyDescent="0.2">
      <c r="B40" s="151" t="s">
        <v>87</v>
      </c>
      <c r="C40" s="152" t="s">
        <v>15</v>
      </c>
      <c r="D40" s="152" t="s">
        <v>88</v>
      </c>
      <c r="E40" s="174">
        <v>800</v>
      </c>
      <c r="F40" s="175">
        <v>0</v>
      </c>
      <c r="G40" s="170"/>
      <c r="H40" s="170"/>
      <c r="I40" s="170"/>
      <c r="J40" s="170"/>
    </row>
    <row r="41" spans="1:10" x14ac:dyDescent="0.2">
      <c r="B41" s="151" t="s">
        <v>148</v>
      </c>
      <c r="C41" s="152" t="s">
        <v>15</v>
      </c>
      <c r="D41" s="152" t="s">
        <v>163</v>
      </c>
      <c r="E41" s="174">
        <v>2500</v>
      </c>
      <c r="F41" s="175">
        <v>0</v>
      </c>
      <c r="G41" s="170"/>
      <c r="H41" s="170"/>
      <c r="I41" s="170"/>
      <c r="J41" s="170"/>
    </row>
    <row r="42" spans="1:10" x14ac:dyDescent="0.2">
      <c r="B42" s="151" t="s">
        <v>76</v>
      </c>
      <c r="C42" s="152" t="s">
        <v>77</v>
      </c>
      <c r="D42" s="152" t="s">
        <v>55</v>
      </c>
      <c r="E42" s="174">
        <v>105</v>
      </c>
      <c r="F42" s="175">
        <v>0</v>
      </c>
      <c r="G42" s="170"/>
      <c r="H42" s="170"/>
      <c r="I42" s="170"/>
      <c r="J42" s="170"/>
    </row>
    <row r="43" spans="1:10" x14ac:dyDescent="0.2">
      <c r="B43" s="151" t="s">
        <v>100</v>
      </c>
      <c r="C43" s="152" t="s">
        <v>92</v>
      </c>
      <c r="D43" s="152" t="s">
        <v>93</v>
      </c>
      <c r="E43" s="174">
        <v>850</v>
      </c>
      <c r="F43" s="175">
        <v>0</v>
      </c>
      <c r="G43" s="170"/>
      <c r="H43" s="170"/>
      <c r="I43" s="170"/>
      <c r="J43" s="170"/>
    </row>
    <row r="44" spans="1:10" x14ac:dyDescent="0.2">
      <c r="B44" s="151" t="s">
        <v>91</v>
      </c>
      <c r="C44" s="152" t="s">
        <v>92</v>
      </c>
      <c r="D44" s="152" t="s">
        <v>93</v>
      </c>
      <c r="E44" s="174">
        <v>1200</v>
      </c>
      <c r="F44" s="175">
        <v>0</v>
      </c>
      <c r="G44" s="170"/>
      <c r="H44" s="170"/>
      <c r="I44" s="170"/>
      <c r="J44" s="170"/>
    </row>
    <row r="45" spans="1:10" ht="38.25" x14ac:dyDescent="0.2">
      <c r="A45" s="150">
        <v>7</v>
      </c>
      <c r="B45" s="153" t="s">
        <v>343</v>
      </c>
      <c r="C45" s="154" t="s">
        <v>344</v>
      </c>
      <c r="D45" s="155" t="s">
        <v>345</v>
      </c>
      <c r="E45" s="156" t="s">
        <v>346</v>
      </c>
      <c r="F45" s="162" t="str">
        <f>E45</f>
        <v>Bundle A:  $500 Bundle B:  $300 Bundle C:  $500</v>
      </c>
      <c r="G45" s="161" t="s">
        <v>250</v>
      </c>
      <c r="H45" s="161" t="str">
        <f>IFERROR(INDEX(#REF!,MATCH($A45,#REF!,0)),"N/A")</f>
        <v>N/A</v>
      </c>
      <c r="I45" s="161" t="s">
        <v>250</v>
      </c>
      <c r="J45" s="161" t="str">
        <f>IFERROR(INDEX(#REF!,MATCH($A45,#REF!,0)),"N/A")</f>
        <v>N/A</v>
      </c>
    </row>
    <row r="46" spans="1:10" x14ac:dyDescent="0.2">
      <c r="B46" s="202" t="s">
        <v>443</v>
      </c>
      <c r="C46" s="202"/>
      <c r="D46" s="202"/>
      <c r="E46" s="171" t="s">
        <v>442</v>
      </c>
      <c r="F46" s="172" t="s">
        <v>442</v>
      </c>
      <c r="G46" s="173" t="s">
        <v>442</v>
      </c>
      <c r="H46" s="173">
        <f>'2022'!AJ72</f>
        <v>2.648910152987753</v>
      </c>
      <c r="I46" s="173" t="s">
        <v>442</v>
      </c>
      <c r="J46" s="173">
        <f>'2022'!AN72</f>
        <v>1.9442044346449159</v>
      </c>
    </row>
    <row r="47" spans="1:10" x14ac:dyDescent="0.2">
      <c r="B47" s="158" t="s">
        <v>387</v>
      </c>
      <c r="C47" s="159"/>
      <c r="D47" s="159"/>
      <c r="E47" s="158"/>
      <c r="G47" s="158"/>
      <c r="H47" s="158"/>
    </row>
    <row r="48" spans="1:10" x14ac:dyDescent="0.2">
      <c r="B48" s="160" t="s">
        <v>388</v>
      </c>
    </row>
    <row r="49" spans="2:2" x14ac:dyDescent="0.2">
      <c r="B49" s="160" t="s">
        <v>389</v>
      </c>
    </row>
    <row r="50" spans="2:2" x14ac:dyDescent="0.2">
      <c r="B50" s="160" t="s">
        <v>390</v>
      </c>
    </row>
    <row r="51" spans="2:2" x14ac:dyDescent="0.2">
      <c r="B51" s="160" t="s">
        <v>391</v>
      </c>
    </row>
    <row r="52" spans="2:2" x14ac:dyDescent="0.2">
      <c r="B52" s="160" t="s">
        <v>392</v>
      </c>
    </row>
    <row r="53" spans="2:2" x14ac:dyDescent="0.2">
      <c r="B53" s="160" t="s">
        <v>393</v>
      </c>
    </row>
  </sheetData>
  <mergeCells count="1">
    <mergeCell ref="B46:D46"/>
  </mergeCells>
  <phoneticPr fontId="38" type="noConversion"/>
  <pageMargins left="0.7" right="0.7" top="0.75" bottom="0.75" header="0.3" footer="0.3"/>
  <ignoredErrors>
    <ignoredError sqref="G16 I16"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K59"/>
  <sheetViews>
    <sheetView workbookViewId="0">
      <selection activeCell="F32" sqref="F32"/>
    </sheetView>
  </sheetViews>
  <sheetFormatPr defaultColWidth="10.6640625" defaultRowHeight="12.75" x14ac:dyDescent="0.2"/>
  <cols>
    <col min="1" max="1" width="7.33203125" style="8" bestFit="1" customWidth="1"/>
    <col min="2" max="2" width="7.6640625" style="8" bestFit="1" customWidth="1"/>
    <col min="3" max="3" width="18" style="8" customWidth="1"/>
    <col min="4" max="4" width="12.33203125" style="8" bestFit="1" customWidth="1"/>
    <col min="5" max="5" width="13.5" style="8" bestFit="1" customWidth="1"/>
    <col min="6" max="6" width="20.33203125" style="8" bestFit="1" customWidth="1"/>
    <col min="7" max="7" width="20.33203125" style="8" customWidth="1"/>
    <col min="8" max="8" width="21.83203125" style="8" bestFit="1" customWidth="1"/>
    <col min="9" max="9" width="19.33203125" style="8" bestFit="1" customWidth="1"/>
    <col min="10" max="16384" width="10.6640625" style="8"/>
  </cols>
  <sheetData>
    <row r="1" spans="1:11" s="6" customFormat="1" x14ac:dyDescent="0.2">
      <c r="A1" s="203" t="s">
        <v>2</v>
      </c>
      <c r="B1" s="203"/>
      <c r="C1" s="203"/>
      <c r="D1" s="203"/>
      <c r="E1" s="203"/>
      <c r="F1" s="203"/>
      <c r="G1" s="203"/>
      <c r="H1" s="203"/>
      <c r="I1" s="203"/>
      <c r="J1" s="5"/>
      <c r="K1" s="5"/>
    </row>
    <row r="2" spans="1:11" s="6" customFormat="1" x14ac:dyDescent="0.2">
      <c r="A2" s="203" t="s">
        <v>62</v>
      </c>
      <c r="B2" s="203"/>
      <c r="C2" s="203"/>
      <c r="D2" s="203"/>
      <c r="E2" s="203"/>
      <c r="F2" s="203"/>
      <c r="G2" s="203"/>
      <c r="H2" s="203"/>
      <c r="I2" s="203"/>
      <c r="J2" s="5"/>
      <c r="K2" s="5"/>
    </row>
    <row r="3" spans="1:11" s="6" customFormat="1" x14ac:dyDescent="0.2">
      <c r="A3" s="203" t="s">
        <v>51</v>
      </c>
      <c r="B3" s="203"/>
      <c r="C3" s="203"/>
      <c r="D3" s="203"/>
      <c r="E3" s="203"/>
      <c r="F3" s="203"/>
      <c r="G3" s="203"/>
      <c r="H3" s="203"/>
      <c r="I3" s="203"/>
      <c r="J3" s="5"/>
      <c r="K3" s="5"/>
    </row>
    <row r="4" spans="1:11" s="6" customFormat="1" x14ac:dyDescent="0.2">
      <c r="A4" s="203" t="s">
        <v>24</v>
      </c>
      <c r="B4" s="203"/>
      <c r="C4" s="203"/>
      <c r="D4" s="203"/>
      <c r="E4" s="203"/>
      <c r="F4" s="203"/>
      <c r="G4" s="203"/>
      <c r="H4" s="203"/>
      <c r="I4" s="203"/>
      <c r="J4" s="5"/>
      <c r="K4" s="5"/>
    </row>
    <row r="5" spans="1:11" x14ac:dyDescent="0.2">
      <c r="A5" s="7"/>
      <c r="B5" s="7"/>
      <c r="C5" s="7"/>
      <c r="D5" s="7"/>
      <c r="E5" s="7"/>
      <c r="F5" s="7"/>
      <c r="G5" s="7"/>
      <c r="H5" s="7"/>
      <c r="I5" s="7"/>
      <c r="J5" s="7"/>
      <c r="K5" s="7"/>
    </row>
    <row r="6" spans="1:11" s="11" customFormat="1" x14ac:dyDescent="0.2">
      <c r="A6" s="9"/>
      <c r="B6" s="9"/>
      <c r="C6" s="9" t="s">
        <v>25</v>
      </c>
      <c r="D6" s="9"/>
      <c r="E6" s="9" t="s">
        <v>5</v>
      </c>
      <c r="F6" s="9" t="s">
        <v>26</v>
      </c>
      <c r="G6" s="10" t="s">
        <v>49</v>
      </c>
      <c r="H6" s="9" t="s">
        <v>27</v>
      </c>
      <c r="I6" s="9"/>
      <c r="J6" s="9"/>
      <c r="K6" s="9"/>
    </row>
    <row r="7" spans="1:11" s="11" customFormat="1" x14ac:dyDescent="0.2">
      <c r="A7" s="9"/>
      <c r="B7" s="9"/>
      <c r="C7" s="9" t="s">
        <v>28</v>
      </c>
      <c r="D7" s="9" t="s">
        <v>29</v>
      </c>
      <c r="E7" s="9" t="s">
        <v>28</v>
      </c>
      <c r="F7" s="9" t="s">
        <v>5</v>
      </c>
      <c r="G7" s="10" t="s">
        <v>50</v>
      </c>
      <c r="H7" s="9" t="s">
        <v>52</v>
      </c>
      <c r="I7" s="9" t="s">
        <v>30</v>
      </c>
      <c r="J7" s="9"/>
      <c r="K7" s="9"/>
    </row>
    <row r="8" spans="1:11" s="11" customFormat="1" x14ac:dyDescent="0.2">
      <c r="A8" s="9"/>
      <c r="B8" s="9"/>
      <c r="C8" s="9" t="s">
        <v>31</v>
      </c>
      <c r="D8" s="9" t="s">
        <v>31</v>
      </c>
      <c r="E8" s="9" t="s">
        <v>32</v>
      </c>
      <c r="F8" s="9" t="s">
        <v>28</v>
      </c>
      <c r="G8" s="10" t="s">
        <v>0</v>
      </c>
      <c r="H8" s="9" t="s">
        <v>33</v>
      </c>
      <c r="I8" s="9" t="s">
        <v>34</v>
      </c>
      <c r="J8" s="9"/>
      <c r="K8" s="9"/>
    </row>
    <row r="9" spans="1:11" s="11" customFormat="1" x14ac:dyDescent="0.2">
      <c r="A9" s="9"/>
      <c r="B9" s="12" t="s">
        <v>35</v>
      </c>
      <c r="C9" s="12" t="s">
        <v>36</v>
      </c>
      <c r="D9" s="12" t="s">
        <v>4</v>
      </c>
      <c r="E9" s="12" t="s">
        <v>37</v>
      </c>
      <c r="F9" s="12" t="s">
        <v>38</v>
      </c>
      <c r="G9" s="13"/>
      <c r="H9" s="12" t="s">
        <v>39</v>
      </c>
      <c r="I9" s="12" t="s">
        <v>40</v>
      </c>
      <c r="J9" s="9"/>
      <c r="K9" s="9"/>
    </row>
    <row r="10" spans="1:11" x14ac:dyDescent="0.2">
      <c r="A10" s="14">
        <v>2018</v>
      </c>
      <c r="B10" s="14">
        <v>1</v>
      </c>
      <c r="C10" s="77">
        <v>0.88445163236383117</v>
      </c>
      <c r="D10" s="77">
        <v>0.88445163236383117</v>
      </c>
      <c r="E10" s="15"/>
      <c r="F10" s="16">
        <f>D10</f>
        <v>0.88445163236383117</v>
      </c>
      <c r="G10" s="17">
        <v>0.1</v>
      </c>
      <c r="H10" s="4">
        <f>F10*(1+G10)</f>
        <v>0.97289679560021436</v>
      </c>
      <c r="I10" s="15">
        <v>0.34601953527252877</v>
      </c>
      <c r="J10" s="18"/>
      <c r="K10" s="7"/>
    </row>
    <row r="11" spans="1:11" x14ac:dyDescent="0.2">
      <c r="A11" s="14">
        <f>A10+1</f>
        <v>2019</v>
      </c>
      <c r="B11" s="14">
        <v>2</v>
      </c>
      <c r="C11" s="77">
        <v>0.81371500359565097</v>
      </c>
      <c r="D11" s="77">
        <v>0.84138131371790315</v>
      </c>
      <c r="E11" s="19"/>
      <c r="F11" s="16">
        <f>F10+D11</f>
        <v>1.7258329460817343</v>
      </c>
      <c r="G11" s="17">
        <v>0.1</v>
      </c>
      <c r="H11" s="4">
        <f t="shared" ref="H11:H54" si="0">F11*(1+G11)</f>
        <v>1.8984162406899079</v>
      </c>
      <c r="I11" s="15">
        <v>0.45925734917480915</v>
      </c>
      <c r="J11" s="20"/>
      <c r="K11" s="7"/>
    </row>
    <row r="12" spans="1:11" x14ac:dyDescent="0.2">
      <c r="A12" s="14">
        <f t="shared" ref="A12:A54" si="1">A11+1</f>
        <v>2020</v>
      </c>
      <c r="B12" s="14">
        <v>3</v>
      </c>
      <c r="C12" s="77">
        <v>0.76115943272610243</v>
      </c>
      <c r="D12" s="77">
        <v>0.81379817445570879</v>
      </c>
      <c r="E12" s="19"/>
      <c r="F12" s="16">
        <f t="shared" ref="F12:F54" si="2">F11+D12</f>
        <v>2.5396311205374431</v>
      </c>
      <c r="G12" s="17">
        <v>0.1</v>
      </c>
      <c r="H12" s="4">
        <f t="shared" si="0"/>
        <v>2.7935942325911878</v>
      </c>
      <c r="I12" s="15">
        <v>0.50054175379201138</v>
      </c>
      <c r="J12" s="20"/>
      <c r="K12" s="7"/>
    </row>
    <row r="13" spans="1:11" x14ac:dyDescent="0.2">
      <c r="A13" s="14">
        <f t="shared" si="1"/>
        <v>2021</v>
      </c>
      <c r="B13" s="14">
        <v>4</v>
      </c>
      <c r="C13" s="77">
        <v>0.75798388048815024</v>
      </c>
      <c r="D13" s="77">
        <v>0.83795671619391321</v>
      </c>
      <c r="E13" s="19"/>
      <c r="F13" s="16">
        <f t="shared" si="2"/>
        <v>3.3775878367313563</v>
      </c>
      <c r="G13" s="17">
        <v>0.1</v>
      </c>
      <c r="H13" s="4">
        <f t="shared" si="0"/>
        <v>3.715346620404492</v>
      </c>
      <c r="I13" s="15">
        <v>0.5479822322365776</v>
      </c>
      <c r="J13" s="20"/>
      <c r="K13" s="7"/>
    </row>
    <row r="14" spans="1:11" x14ac:dyDescent="0.2">
      <c r="A14" s="14">
        <f t="shared" si="1"/>
        <v>2022</v>
      </c>
      <c r="B14" s="14">
        <v>5</v>
      </c>
      <c r="C14" s="77">
        <v>0.77075836546405829</v>
      </c>
      <c r="D14" s="77">
        <v>0.88104968872936473</v>
      </c>
      <c r="E14" s="19"/>
      <c r="F14" s="16">
        <f t="shared" si="2"/>
        <v>4.2586375254607214</v>
      </c>
      <c r="G14" s="17">
        <v>0.1</v>
      </c>
      <c r="H14" s="4">
        <f t="shared" si="0"/>
        <v>4.6845012780067936</v>
      </c>
      <c r="I14" s="15">
        <v>0.59314552519252961</v>
      </c>
      <c r="J14" s="20"/>
      <c r="K14" s="7"/>
    </row>
    <row r="15" spans="1:11" x14ac:dyDescent="0.2">
      <c r="A15" s="14">
        <f t="shared" si="1"/>
        <v>2023</v>
      </c>
      <c r="B15" s="14">
        <v>6</v>
      </c>
      <c r="C15" s="77">
        <v>0.76378755722747937</v>
      </c>
      <c r="D15" s="77">
        <v>0.90276616326625003</v>
      </c>
      <c r="E15" s="19"/>
      <c r="F15" s="16">
        <f t="shared" si="2"/>
        <v>5.1614036887269714</v>
      </c>
      <c r="G15" s="17">
        <v>0.1</v>
      </c>
      <c r="H15" s="4">
        <f t="shared" si="0"/>
        <v>5.6775440575996692</v>
      </c>
      <c r="I15" s="15">
        <v>0.61762448092997424</v>
      </c>
      <c r="J15" s="20"/>
      <c r="K15" s="7"/>
    </row>
    <row r="16" spans="1:11" x14ac:dyDescent="0.2">
      <c r="A16" s="14">
        <f t="shared" si="1"/>
        <v>2024</v>
      </c>
      <c r="B16" s="14">
        <v>7</v>
      </c>
      <c r="C16" s="77">
        <v>0.74933499617350652</v>
      </c>
      <c r="D16" s="77">
        <v>0.91579706736600974</v>
      </c>
      <c r="E16" s="19"/>
      <c r="F16" s="16">
        <f t="shared" si="2"/>
        <v>6.0772007560929815</v>
      </c>
      <c r="G16" s="17">
        <v>0.1</v>
      </c>
      <c r="H16" s="4">
        <f t="shared" si="0"/>
        <v>6.6849208317022804</v>
      </c>
      <c r="I16" s="75">
        <v>0.63462808544953453</v>
      </c>
      <c r="J16" s="20"/>
      <c r="K16" s="7"/>
    </row>
    <row r="17" spans="1:11" x14ac:dyDescent="0.2">
      <c r="A17" s="14">
        <f t="shared" si="1"/>
        <v>2025</v>
      </c>
      <c r="B17" s="14">
        <v>8</v>
      </c>
      <c r="C17" s="77">
        <v>0.72707320786116503</v>
      </c>
      <c r="D17" s="77">
        <v>0.91880195964036115</v>
      </c>
      <c r="E17" s="19"/>
      <c r="F17" s="16">
        <f t="shared" si="2"/>
        <v>6.9960027157333426</v>
      </c>
      <c r="G17" s="17">
        <v>0.1</v>
      </c>
      <c r="H17" s="4">
        <f t="shared" si="0"/>
        <v>7.6956029873066774</v>
      </c>
      <c r="I17" s="15">
        <v>0.64933563653705961</v>
      </c>
      <c r="J17" s="20"/>
      <c r="K17" s="7"/>
    </row>
    <row r="18" spans="1:11" x14ac:dyDescent="0.2">
      <c r="A18" s="14">
        <f t="shared" si="1"/>
        <v>2026</v>
      </c>
      <c r="B18" s="14">
        <v>9</v>
      </c>
      <c r="C18" s="77">
        <v>0.7149322508405066</v>
      </c>
      <c r="D18" s="77">
        <v>0.93417706077384166</v>
      </c>
      <c r="E18" s="19"/>
      <c r="F18" s="16">
        <f t="shared" si="2"/>
        <v>7.9301797765071846</v>
      </c>
      <c r="G18" s="17">
        <v>0.1</v>
      </c>
      <c r="H18" s="4">
        <f t="shared" si="0"/>
        <v>8.7231977541579031</v>
      </c>
      <c r="I18" s="15">
        <v>0.65950500240289645</v>
      </c>
      <c r="J18" s="20"/>
      <c r="K18" s="7"/>
    </row>
    <row r="19" spans="1:11" x14ac:dyDescent="0.2">
      <c r="A19" s="14">
        <f t="shared" si="1"/>
        <v>2027</v>
      </c>
      <c r="B19" s="14">
        <v>10</v>
      </c>
      <c r="C19" s="77">
        <v>0.70356791294168164</v>
      </c>
      <c r="D19" s="77">
        <v>0.95058481742366419</v>
      </c>
      <c r="E19" s="19"/>
      <c r="F19" s="16">
        <f t="shared" si="2"/>
        <v>8.8807645939308486</v>
      </c>
      <c r="G19" s="17">
        <v>0.1</v>
      </c>
      <c r="H19" s="4">
        <f t="shared" si="0"/>
        <v>9.7688410533239338</v>
      </c>
      <c r="I19" s="75">
        <v>0.68480159620826098</v>
      </c>
      <c r="J19" s="20"/>
      <c r="K19" s="7"/>
    </row>
    <row r="20" spans="1:11" x14ac:dyDescent="0.2">
      <c r="A20" s="14">
        <f t="shared" si="1"/>
        <v>2028</v>
      </c>
      <c r="B20" s="14">
        <v>11</v>
      </c>
      <c r="C20" s="77">
        <v>0.6851545172570157</v>
      </c>
      <c r="D20" s="77">
        <v>0.95718065546171105</v>
      </c>
      <c r="E20" s="19"/>
      <c r="F20" s="16">
        <f t="shared" si="2"/>
        <v>9.8379452493925594</v>
      </c>
      <c r="G20" s="17">
        <v>0.1</v>
      </c>
      <c r="H20" s="4">
        <f t="shared" si="0"/>
        <v>10.821739774331816</v>
      </c>
      <c r="I20" s="15">
        <v>0.69395230019979448</v>
      </c>
      <c r="J20" s="20"/>
      <c r="K20" s="7"/>
    </row>
    <row r="21" spans="1:11" x14ac:dyDescent="0.2">
      <c r="A21" s="14">
        <f t="shared" si="1"/>
        <v>2029</v>
      </c>
      <c r="B21" s="14">
        <v>12</v>
      </c>
      <c r="C21" s="77">
        <v>0.67625670713780228</v>
      </c>
      <c r="D21" s="77">
        <v>0.97687166301819628</v>
      </c>
      <c r="E21" s="19"/>
      <c r="F21" s="16">
        <f t="shared" si="2"/>
        <v>10.814816912410755</v>
      </c>
      <c r="G21" s="17">
        <v>0.1</v>
      </c>
      <c r="H21" s="4">
        <f t="shared" si="0"/>
        <v>11.896298603651832</v>
      </c>
      <c r="I21" s="15">
        <v>0.70262420017702643</v>
      </c>
      <c r="J21" s="20"/>
      <c r="K21" s="7"/>
    </row>
    <row r="22" spans="1:11" x14ac:dyDescent="0.2">
      <c r="A22" s="14">
        <f t="shared" si="1"/>
        <v>2030</v>
      </c>
      <c r="B22" s="14">
        <v>13</v>
      </c>
      <c r="C22" s="77">
        <v>0.66587008865652375</v>
      </c>
      <c r="D22" s="77">
        <v>0.99457141181766762</v>
      </c>
      <c r="E22" s="19"/>
      <c r="F22" s="16">
        <f t="shared" si="2"/>
        <v>11.809388324228422</v>
      </c>
      <c r="G22" s="17">
        <v>0.1</v>
      </c>
      <c r="H22" s="4">
        <f t="shared" si="0"/>
        <v>12.990327156651265</v>
      </c>
      <c r="I22" s="15">
        <v>0.71063080700719672</v>
      </c>
      <c r="J22" s="20"/>
      <c r="K22" s="7"/>
    </row>
    <row r="23" spans="1:11" x14ac:dyDescent="0.2">
      <c r="A23" s="14">
        <f t="shared" si="1"/>
        <v>2031</v>
      </c>
      <c r="B23" s="14">
        <v>14</v>
      </c>
      <c r="C23" s="77">
        <v>0.64881311732878166</v>
      </c>
      <c r="D23" s="77">
        <v>1.0020436159092017</v>
      </c>
      <c r="E23" s="19"/>
      <c r="F23" s="16">
        <f t="shared" si="2"/>
        <v>12.811431940137624</v>
      </c>
      <c r="G23" s="17">
        <v>0.1</v>
      </c>
      <c r="H23" s="4">
        <f t="shared" si="0"/>
        <v>14.092575134151387</v>
      </c>
      <c r="I23" s="15">
        <v>0.71837549369257181</v>
      </c>
      <c r="J23" s="20"/>
      <c r="K23" s="7"/>
    </row>
    <row r="24" spans="1:11" x14ac:dyDescent="0.2">
      <c r="A24" s="14">
        <f t="shared" si="1"/>
        <v>2032</v>
      </c>
      <c r="B24" s="14">
        <v>15</v>
      </c>
      <c r="C24" s="77">
        <v>0.63835970106897866</v>
      </c>
      <c r="D24" s="77">
        <v>1.0194196609012849</v>
      </c>
      <c r="E24" s="19"/>
      <c r="F24" s="16">
        <f t="shared" si="2"/>
        <v>13.830851601038908</v>
      </c>
      <c r="G24" s="17">
        <v>0.1</v>
      </c>
      <c r="H24" s="4">
        <f t="shared" si="0"/>
        <v>15.213936761142801</v>
      </c>
      <c r="I24" s="75">
        <v>0.74240514612309938</v>
      </c>
      <c r="J24" s="20"/>
      <c r="K24" s="7"/>
    </row>
    <row r="25" spans="1:11" x14ac:dyDescent="0.2">
      <c r="A25" s="14">
        <f t="shared" si="1"/>
        <v>2033</v>
      </c>
      <c r="B25" s="14">
        <v>16</v>
      </c>
      <c r="C25" s="77">
        <v>0.62567375799839731</v>
      </c>
      <c r="D25" s="77">
        <v>1.0331324949498273</v>
      </c>
      <c r="E25" s="19"/>
      <c r="F25" s="16">
        <f t="shared" si="2"/>
        <v>14.863984095988735</v>
      </c>
      <c r="G25" s="17">
        <v>0.1</v>
      </c>
      <c r="H25" s="4">
        <f t="shared" si="0"/>
        <v>16.350382505587611</v>
      </c>
      <c r="I25" s="15">
        <v>0.74976559409269039</v>
      </c>
      <c r="J25" s="20"/>
      <c r="K25" s="7"/>
    </row>
    <row r="26" spans="1:11" x14ac:dyDescent="0.2">
      <c r="A26" s="14">
        <f t="shared" si="1"/>
        <v>2034</v>
      </c>
      <c r="B26" s="14">
        <v>17</v>
      </c>
      <c r="C26" s="77">
        <v>0.61894833994618093</v>
      </c>
      <c r="D26" s="77">
        <v>1.0567761970079774</v>
      </c>
      <c r="E26" s="19"/>
      <c r="F26" s="16">
        <f t="shared" si="2"/>
        <v>15.920760292996713</v>
      </c>
      <c r="G26" s="17">
        <v>0.1</v>
      </c>
      <c r="H26" s="4">
        <f t="shared" si="0"/>
        <v>17.512836322296387</v>
      </c>
      <c r="I26" s="15">
        <v>0.75674299780866117</v>
      </c>
      <c r="J26" s="20"/>
      <c r="K26" s="7"/>
    </row>
    <row r="27" spans="1:11" x14ac:dyDescent="0.2">
      <c r="A27" s="14">
        <f t="shared" si="1"/>
        <v>2035</v>
      </c>
      <c r="B27" s="14">
        <v>18</v>
      </c>
      <c r="C27" s="77">
        <v>0.61107179398866485</v>
      </c>
      <c r="D27" s="77">
        <v>1.078801140190391</v>
      </c>
      <c r="E27" s="19"/>
      <c r="F27" s="16">
        <f t="shared" si="2"/>
        <v>16.999561433187104</v>
      </c>
      <c r="G27" s="17">
        <v>0.1</v>
      </c>
      <c r="H27" s="4">
        <f t="shared" si="0"/>
        <v>18.699517576505816</v>
      </c>
      <c r="I27" s="15">
        <v>0.7636193085499644</v>
      </c>
      <c r="J27" s="20"/>
      <c r="K27" s="7"/>
    </row>
    <row r="28" spans="1:11" x14ac:dyDescent="0.2">
      <c r="A28" s="14">
        <f t="shared" si="1"/>
        <v>2036</v>
      </c>
      <c r="B28" s="14">
        <v>19</v>
      </c>
      <c r="C28" s="77">
        <v>0.60374811403143069</v>
      </c>
      <c r="D28" s="77">
        <v>1.1021113748980613</v>
      </c>
      <c r="E28" s="19"/>
      <c r="F28" s="16">
        <f t="shared" si="2"/>
        <v>18.101672808085166</v>
      </c>
      <c r="G28" s="17">
        <v>0.1</v>
      </c>
      <c r="H28" s="4">
        <f t="shared" si="0"/>
        <v>19.911840088893683</v>
      </c>
      <c r="I28" s="15">
        <v>0.77003890197278424</v>
      </c>
      <c r="J28" s="20"/>
      <c r="K28" s="7"/>
    </row>
    <row r="29" spans="1:11" x14ac:dyDescent="0.2">
      <c r="A29" s="14">
        <f t="shared" si="1"/>
        <v>2037</v>
      </c>
      <c r="B29" s="14">
        <v>20</v>
      </c>
      <c r="C29" s="77">
        <v>0.59154544035996659</v>
      </c>
      <c r="D29" s="77">
        <v>1.1165504413430951</v>
      </c>
      <c r="E29" s="19"/>
      <c r="F29" s="16">
        <f t="shared" si="2"/>
        <v>19.218223249428259</v>
      </c>
      <c r="G29" s="17">
        <v>0.1</v>
      </c>
      <c r="H29" s="4">
        <f t="shared" si="0"/>
        <v>21.140045574371086</v>
      </c>
      <c r="I29" s="75">
        <v>0.7762931783784307</v>
      </c>
      <c r="J29" s="20"/>
      <c r="K29" s="7"/>
    </row>
    <row r="30" spans="1:11" x14ac:dyDescent="0.2">
      <c r="A30" s="14">
        <f t="shared" si="1"/>
        <v>2038</v>
      </c>
      <c r="B30" s="14">
        <v>21</v>
      </c>
      <c r="C30" s="77">
        <v>0.58353612105141783</v>
      </c>
      <c r="D30" s="77">
        <v>1.1388814501699571</v>
      </c>
      <c r="E30" s="19"/>
      <c r="F30" s="16">
        <f t="shared" si="2"/>
        <v>20.357104699598217</v>
      </c>
      <c r="G30" s="17">
        <v>0.1</v>
      </c>
      <c r="H30" s="4">
        <f t="shared" si="0"/>
        <v>22.392815169558041</v>
      </c>
      <c r="I30" s="27">
        <v>0.79988126585284425</v>
      </c>
      <c r="J30" s="20"/>
      <c r="K30" s="7"/>
    </row>
    <row r="31" spans="1:11" x14ac:dyDescent="0.2">
      <c r="A31" s="14">
        <f t="shared" si="1"/>
        <v>2039</v>
      </c>
      <c r="B31" s="14">
        <v>22</v>
      </c>
      <c r="C31" s="77">
        <v>0.57563524513776232</v>
      </c>
      <c r="D31" s="77">
        <v>1.1616590791733563</v>
      </c>
      <c r="E31" s="19"/>
      <c r="F31" s="16">
        <f t="shared" si="2"/>
        <v>21.518763778771575</v>
      </c>
      <c r="G31" s="17">
        <v>0.1</v>
      </c>
      <c r="H31" s="4">
        <f t="shared" si="0"/>
        <v>23.670640156648734</v>
      </c>
      <c r="I31" s="27">
        <v>0.80616380718637082</v>
      </c>
      <c r="J31" s="20"/>
      <c r="K31" s="7"/>
    </row>
    <row r="32" spans="1:11" x14ac:dyDescent="0.2">
      <c r="A32" s="14">
        <f t="shared" si="1"/>
        <v>2040</v>
      </c>
      <c r="B32" s="14">
        <v>23</v>
      </c>
      <c r="C32" s="77">
        <v>0.56784134433318922</v>
      </c>
      <c r="D32" s="77">
        <v>1.1848922607568235</v>
      </c>
      <c r="E32" s="19"/>
      <c r="F32" s="16">
        <f t="shared" si="2"/>
        <v>22.703656039528397</v>
      </c>
      <c r="G32" s="17">
        <v>0.1</v>
      </c>
      <c r="H32" s="4">
        <f t="shared" si="0"/>
        <v>24.97402164348124</v>
      </c>
      <c r="I32" s="27">
        <v>0.81239286705349778</v>
      </c>
      <c r="J32" s="20"/>
      <c r="K32" s="7"/>
    </row>
    <row r="33" spans="1:11" x14ac:dyDescent="0.2">
      <c r="A33" s="14">
        <f t="shared" si="1"/>
        <v>2041</v>
      </c>
      <c r="B33" s="14">
        <v>24</v>
      </c>
      <c r="C33" s="77">
        <v>0.56015297023196597</v>
      </c>
      <c r="D33" s="77">
        <v>1.2085901059719599</v>
      </c>
      <c r="E33" s="19"/>
      <c r="F33" s="16">
        <f t="shared" si="2"/>
        <v>23.912246145500358</v>
      </c>
      <c r="G33" s="17">
        <v>0.1</v>
      </c>
      <c r="H33" s="4">
        <f t="shared" si="0"/>
        <v>26.303470760050395</v>
      </c>
      <c r="I33" s="27">
        <v>0.81856920879183415</v>
      </c>
      <c r="J33" s="20"/>
      <c r="K33" s="7"/>
    </row>
    <row r="34" spans="1:11" x14ac:dyDescent="0.2">
      <c r="A34" s="14">
        <f t="shared" si="1"/>
        <v>2042</v>
      </c>
      <c r="B34" s="14">
        <v>25</v>
      </c>
      <c r="C34" s="77">
        <v>0.55256869403927023</v>
      </c>
      <c r="D34" s="77">
        <v>1.2327619080913992</v>
      </c>
      <c r="E34" s="19"/>
      <c r="F34" s="16">
        <f t="shared" si="2"/>
        <v>25.145008053591756</v>
      </c>
      <c r="G34" s="17">
        <v>0.1</v>
      </c>
      <c r="H34" s="4">
        <f t="shared" si="0"/>
        <v>27.659508858950932</v>
      </c>
      <c r="I34" s="27">
        <v>0.82469332911371385</v>
      </c>
      <c r="J34" s="20"/>
      <c r="K34" s="7"/>
    </row>
    <row r="35" spans="1:11" x14ac:dyDescent="0.2">
      <c r="A35" s="14">
        <f t="shared" si="1"/>
        <v>2043</v>
      </c>
      <c r="B35" s="14">
        <v>26</v>
      </c>
      <c r="C35" s="77">
        <v>0.54508710630566315</v>
      </c>
      <c r="D35" s="77">
        <v>1.2574171462532271</v>
      </c>
      <c r="E35" s="19"/>
      <c r="F35" s="16">
        <f t="shared" si="2"/>
        <v>26.402425199844984</v>
      </c>
      <c r="G35" s="17">
        <v>0.1</v>
      </c>
      <c r="H35" s="4">
        <f t="shared" si="0"/>
        <v>29.042667719829485</v>
      </c>
      <c r="I35" s="27">
        <v>0.84882563596266958</v>
      </c>
      <c r="J35" s="20"/>
      <c r="K35" s="7"/>
    </row>
    <row r="36" spans="1:11" x14ac:dyDescent="0.2">
      <c r="A36" s="14">
        <f t="shared" si="1"/>
        <v>2044</v>
      </c>
      <c r="B36" s="14">
        <v>27</v>
      </c>
      <c r="C36" s="77">
        <v>0.53770681666516085</v>
      </c>
      <c r="D36" s="77">
        <v>1.2825654891782916</v>
      </c>
      <c r="E36" s="19"/>
      <c r="F36" s="16">
        <f t="shared" si="2"/>
        <v>27.684990689023277</v>
      </c>
      <c r="G36" s="17">
        <v>0.1</v>
      </c>
      <c r="H36" s="4">
        <f t="shared" si="0"/>
        <v>30.453489757925606</v>
      </c>
      <c r="I36" s="27">
        <v>0.85497689179152647</v>
      </c>
      <c r="J36" s="20"/>
      <c r="K36" s="7"/>
    </row>
    <row r="37" spans="1:11" x14ac:dyDescent="0.2">
      <c r="A37" s="14">
        <f t="shared" si="1"/>
        <v>2045</v>
      </c>
      <c r="B37" s="14">
        <v>28</v>
      </c>
      <c r="C37" s="77">
        <v>0.53042645357685103</v>
      </c>
      <c r="D37" s="77">
        <v>1.3082167989618574</v>
      </c>
      <c r="E37" s="19"/>
      <c r="F37" s="16">
        <f t="shared" si="2"/>
        <v>28.993207487985135</v>
      </c>
      <c r="G37" s="17">
        <v>0.1</v>
      </c>
      <c r="H37" s="4">
        <f t="shared" si="0"/>
        <v>31.892528236783651</v>
      </c>
      <c r="I37" s="27">
        <v>0.86107520888402445</v>
      </c>
      <c r="J37" s="20"/>
      <c r="K37" s="7"/>
    </row>
    <row r="38" spans="1:11" x14ac:dyDescent="0.2">
      <c r="A38" s="14">
        <f t="shared" si="1"/>
        <v>2046</v>
      </c>
      <c r="B38" s="14">
        <v>29</v>
      </c>
      <c r="C38" s="77">
        <v>0.52324466407000791</v>
      </c>
      <c r="D38" s="77">
        <v>1.3343811349410946</v>
      </c>
      <c r="E38" s="19"/>
      <c r="F38" s="16">
        <f t="shared" si="2"/>
        <v>30.327588622926228</v>
      </c>
      <c r="G38" s="17">
        <v>0.1</v>
      </c>
      <c r="H38" s="4">
        <f t="shared" si="0"/>
        <v>33.360347485218853</v>
      </c>
      <c r="I38" s="27">
        <v>0.86712048176009582</v>
      </c>
      <c r="J38" s="20"/>
      <c r="K38" s="7"/>
    </row>
    <row r="39" spans="1:11" x14ac:dyDescent="0.2">
      <c r="A39" s="14">
        <f t="shared" si="1"/>
        <v>2047</v>
      </c>
      <c r="B39" s="14">
        <v>30</v>
      </c>
      <c r="C39" s="77">
        <v>0.51616011349265778</v>
      </c>
      <c r="D39" s="77">
        <v>1.3610687576399165</v>
      </c>
      <c r="E39" s="19"/>
      <c r="F39" s="16">
        <f t="shared" si="2"/>
        <v>31.688657380566145</v>
      </c>
      <c r="G39" s="17">
        <v>0.1</v>
      </c>
      <c r="H39" s="4">
        <f t="shared" si="0"/>
        <v>34.857523118622765</v>
      </c>
      <c r="I39" s="27">
        <v>0.87311252615146162</v>
      </c>
      <c r="J39" s="20"/>
      <c r="K39" s="7"/>
    </row>
    <row r="40" spans="1:11" x14ac:dyDescent="0.2">
      <c r="A40" s="14">
        <f t="shared" si="1"/>
        <v>2048</v>
      </c>
      <c r="B40" s="14">
        <v>31</v>
      </c>
      <c r="C40" s="78">
        <v>0.50917148526355016</v>
      </c>
      <c r="D40" s="78">
        <v>1.3882901327927148</v>
      </c>
      <c r="E40" s="19"/>
      <c r="F40" s="16">
        <f t="shared" si="2"/>
        <v>33.07694751335886</v>
      </c>
      <c r="G40" s="79">
        <v>0.1</v>
      </c>
      <c r="H40" s="4">
        <f t="shared" si="0"/>
        <v>36.384642264694747</v>
      </c>
      <c r="I40" s="80"/>
      <c r="J40" s="20"/>
      <c r="K40" s="7"/>
    </row>
    <row r="41" spans="1:11" x14ac:dyDescent="0.2">
      <c r="A41" s="14">
        <f t="shared" si="1"/>
        <v>2049</v>
      </c>
      <c r="B41" s="14">
        <v>32</v>
      </c>
      <c r="C41" s="78">
        <v>0.50227748062748667</v>
      </c>
      <c r="D41" s="78">
        <v>1.4160559354485691</v>
      </c>
      <c r="E41" s="19"/>
      <c r="F41" s="16">
        <f t="shared" si="2"/>
        <v>34.493003448807428</v>
      </c>
      <c r="G41" s="79">
        <v>0.1</v>
      </c>
      <c r="H41" s="4">
        <f t="shared" si="0"/>
        <v>37.942303793688176</v>
      </c>
      <c r="I41" s="80"/>
      <c r="J41" s="20"/>
      <c r="K41" s="7"/>
    </row>
    <row r="42" spans="1:11" x14ac:dyDescent="0.2">
      <c r="A42" s="14">
        <f t="shared" si="1"/>
        <v>2050</v>
      </c>
      <c r="B42" s="14">
        <v>33</v>
      </c>
      <c r="C42" s="78">
        <v>0.49547681841396168</v>
      </c>
      <c r="D42" s="78">
        <v>1.4443770541575405</v>
      </c>
      <c r="E42" s="19"/>
      <c r="F42" s="16">
        <f t="shared" si="2"/>
        <v>35.93738050296497</v>
      </c>
      <c r="G42" s="79">
        <v>0.1</v>
      </c>
      <c r="H42" s="4">
        <f t="shared" si="0"/>
        <v>39.531118553261472</v>
      </c>
      <c r="I42" s="80"/>
      <c r="J42" s="20"/>
      <c r="K42" s="7"/>
    </row>
    <row r="43" spans="1:11" x14ac:dyDescent="0.2">
      <c r="A43" s="14">
        <f t="shared" si="1"/>
        <v>2051</v>
      </c>
      <c r="B43" s="14">
        <v>34</v>
      </c>
      <c r="C43" s="78">
        <v>0.48876823479907244</v>
      </c>
      <c r="D43" s="78">
        <v>1.4732645952406913</v>
      </c>
      <c r="E43" s="19"/>
      <c r="F43" s="16">
        <f t="shared" si="2"/>
        <v>37.410645098205663</v>
      </c>
      <c r="G43" s="79">
        <v>0.1</v>
      </c>
      <c r="H43" s="4">
        <f t="shared" si="0"/>
        <v>41.151709608026231</v>
      </c>
      <c r="I43" s="80"/>
      <c r="J43" s="20"/>
      <c r="K43" s="7"/>
    </row>
    <row r="44" spans="1:11" x14ac:dyDescent="0.2">
      <c r="A44" s="14">
        <f t="shared" si="1"/>
        <v>2052</v>
      </c>
      <c r="B44" s="14">
        <v>35</v>
      </c>
      <c r="C44" s="78">
        <v>0.48215048307065178</v>
      </c>
      <c r="D44" s="78">
        <v>1.5027298871455053</v>
      </c>
      <c r="E44" s="19"/>
      <c r="F44" s="16">
        <f t="shared" si="2"/>
        <v>38.913374985351169</v>
      </c>
      <c r="G44" s="79">
        <v>0.1</v>
      </c>
      <c r="H44" s="4">
        <f t="shared" si="0"/>
        <v>42.804712483886291</v>
      </c>
      <c r="I44" s="15"/>
      <c r="J44" s="20"/>
      <c r="K44" s="7"/>
    </row>
    <row r="45" spans="1:11" x14ac:dyDescent="0.2">
      <c r="A45" s="14">
        <f t="shared" si="1"/>
        <v>2053</v>
      </c>
      <c r="B45" s="14">
        <v>36</v>
      </c>
      <c r="C45" s="78">
        <v>0.47562233339658105</v>
      </c>
      <c r="D45" s="78">
        <v>1.5327844848884153</v>
      </c>
      <c r="E45" s="19"/>
      <c r="F45" s="16">
        <f t="shared" si="2"/>
        <v>40.446159470239586</v>
      </c>
      <c r="G45" s="79">
        <v>0.1</v>
      </c>
      <c r="H45" s="4">
        <f t="shared" si="0"/>
        <v>44.490775417263549</v>
      </c>
      <c r="I45" s="80"/>
      <c r="J45" s="20"/>
      <c r="K45" s="7"/>
    </row>
    <row r="46" spans="1:11" x14ac:dyDescent="0.2">
      <c r="A46" s="14">
        <f t="shared" si="1"/>
        <v>2054</v>
      </c>
      <c r="B46" s="14">
        <v>37</v>
      </c>
      <c r="C46" s="78">
        <v>0.46918257259624058</v>
      </c>
      <c r="D46" s="78">
        <v>1.5634401745861837</v>
      </c>
      <c r="E46" s="19"/>
      <c r="F46" s="16">
        <f t="shared" si="2"/>
        <v>42.009599644825769</v>
      </c>
      <c r="G46" s="79">
        <v>0.1</v>
      </c>
      <c r="H46" s="4">
        <f t="shared" si="0"/>
        <v>46.210559609308348</v>
      </c>
      <c r="I46" s="80"/>
      <c r="J46" s="20"/>
      <c r="K46" s="7"/>
    </row>
    <row r="47" spans="1:11" x14ac:dyDescent="0.2">
      <c r="A47" s="14">
        <f t="shared" si="1"/>
        <v>2055</v>
      </c>
      <c r="B47" s="14">
        <v>38</v>
      </c>
      <c r="C47" s="78">
        <v>0.46283000391505358</v>
      </c>
      <c r="D47" s="78">
        <v>1.5947089780779073</v>
      </c>
      <c r="E47" s="19"/>
      <c r="F47" s="16">
        <f t="shared" si="2"/>
        <v>43.604308622903673</v>
      </c>
      <c r="G47" s="79">
        <v>0.1</v>
      </c>
      <c r="H47" s="4">
        <f t="shared" si="0"/>
        <v>47.964739485194045</v>
      </c>
      <c r="I47" s="80"/>
      <c r="J47" s="20"/>
      <c r="K47" s="7"/>
    </row>
    <row r="48" spans="1:11" x14ac:dyDescent="0.2">
      <c r="A48" s="14">
        <f t="shared" si="1"/>
        <v>2056</v>
      </c>
      <c r="B48" s="14">
        <v>39</v>
      </c>
      <c r="C48" s="78">
        <v>0.45656344680208383</v>
      </c>
      <c r="D48" s="78">
        <v>1.6266031576394655</v>
      </c>
      <c r="E48" s="19"/>
      <c r="F48" s="16">
        <f t="shared" si="2"/>
        <v>45.230911780543138</v>
      </c>
      <c r="G48" s="79">
        <v>0.1</v>
      </c>
      <c r="H48" s="4">
        <f t="shared" si="0"/>
        <v>49.754002958597454</v>
      </c>
      <c r="I48" s="80"/>
      <c r="J48" s="20"/>
      <c r="K48" s="7"/>
    </row>
    <row r="49" spans="1:11" x14ac:dyDescent="0.2">
      <c r="A49" s="14">
        <f t="shared" si="1"/>
        <v>2057</v>
      </c>
      <c r="B49" s="14">
        <v>40</v>
      </c>
      <c r="C49" s="78">
        <v>0.45038173669064363</v>
      </c>
      <c r="D49" s="78">
        <v>1.6591352207922549</v>
      </c>
      <c r="E49" s="19"/>
      <c r="F49" s="16">
        <f t="shared" si="2"/>
        <v>46.890047001335397</v>
      </c>
      <c r="G49" s="79">
        <v>0.1</v>
      </c>
      <c r="H49" s="4">
        <f t="shared" si="0"/>
        <v>51.579051701468941</v>
      </c>
      <c r="I49" s="15"/>
      <c r="J49" s="20"/>
      <c r="K49" s="7"/>
    </row>
    <row r="50" spans="1:11" x14ac:dyDescent="0.2">
      <c r="A50" s="14">
        <f t="shared" si="1"/>
        <v>2058</v>
      </c>
      <c r="B50" s="14">
        <v>41</v>
      </c>
      <c r="C50" s="78">
        <v>0.44428372478187284</v>
      </c>
      <c r="D50" s="78">
        <v>1.6923179252081</v>
      </c>
      <c r="E50" s="19"/>
      <c r="F50" s="16">
        <f t="shared" si="2"/>
        <v>48.582364926543498</v>
      </c>
      <c r="G50" s="79">
        <v>0.1</v>
      </c>
      <c r="H50" s="4">
        <f t="shared" si="0"/>
        <v>53.440601419197854</v>
      </c>
      <c r="I50" s="80"/>
      <c r="J50" s="20"/>
      <c r="K50" s="7"/>
    </row>
    <row r="51" spans="1:11" x14ac:dyDescent="0.2">
      <c r="A51" s="14">
        <f t="shared" si="1"/>
        <v>2059</v>
      </c>
      <c r="B51" s="14">
        <v>42</v>
      </c>
      <c r="C51" s="78">
        <v>0.43826827783124789</v>
      </c>
      <c r="D51" s="78">
        <v>1.7261642837122619</v>
      </c>
      <c r="E51" s="19"/>
      <c r="F51" s="16">
        <f t="shared" si="2"/>
        <v>50.308529210255763</v>
      </c>
      <c r="G51" s="79">
        <v>0.1</v>
      </c>
      <c r="H51" s="4">
        <f t="shared" si="0"/>
        <v>55.339382131281347</v>
      </c>
      <c r="I51" s="80"/>
      <c r="J51" s="20"/>
      <c r="K51" s="7"/>
    </row>
    <row r="52" spans="1:11" x14ac:dyDescent="0.2">
      <c r="A52" s="14">
        <f t="shared" si="1"/>
        <v>2060</v>
      </c>
      <c r="B52" s="14">
        <v>43</v>
      </c>
      <c r="C52" s="78">
        <v>0.43233427793798146</v>
      </c>
      <c r="D52" s="78">
        <v>1.7606875693865072</v>
      </c>
      <c r="E52" s="19"/>
      <c r="F52" s="16">
        <f t="shared" si="2"/>
        <v>52.069216779642268</v>
      </c>
      <c r="G52" s="79">
        <v>0.1</v>
      </c>
      <c r="H52" s="4">
        <f t="shared" si="0"/>
        <v>57.2761384576065</v>
      </c>
      <c r="I52" s="80"/>
      <c r="J52" s="20"/>
      <c r="K52" s="7"/>
    </row>
    <row r="53" spans="1:11" x14ac:dyDescent="0.2">
      <c r="A53" s="14">
        <f t="shared" si="1"/>
        <v>2061</v>
      </c>
      <c r="B53" s="14">
        <v>44</v>
      </c>
      <c r="C53" s="78">
        <v>0.42648062233727368</v>
      </c>
      <c r="D53" s="78">
        <v>1.7959013207742374</v>
      </c>
      <c r="E53" s="19"/>
      <c r="F53" s="16">
        <f t="shared" si="2"/>
        <v>53.865118100416503</v>
      </c>
      <c r="G53" s="79">
        <v>0.1</v>
      </c>
      <c r="H53" s="4">
        <f t="shared" si="0"/>
        <v>59.251629910458156</v>
      </c>
      <c r="I53" s="80"/>
      <c r="J53" s="20"/>
      <c r="K53" s="7"/>
    </row>
    <row r="54" spans="1:11" x14ac:dyDescent="0.2">
      <c r="A54" s="14">
        <f t="shared" si="1"/>
        <v>2062</v>
      </c>
      <c r="B54" s="14">
        <v>45</v>
      </c>
      <c r="C54" s="78">
        <v>0.42070622319537654</v>
      </c>
      <c r="D54" s="78">
        <v>1.8318193471897222</v>
      </c>
      <c r="E54" s="19"/>
      <c r="F54" s="16">
        <f t="shared" si="2"/>
        <v>55.696937447606224</v>
      </c>
      <c r="G54" s="79">
        <v>0.1</v>
      </c>
      <c r="H54" s="4">
        <f t="shared" si="0"/>
        <v>61.266631192366852</v>
      </c>
      <c r="I54" s="15"/>
      <c r="J54" s="20"/>
      <c r="K54" s="7"/>
    </row>
    <row r="55" spans="1:11" x14ac:dyDescent="0.2">
      <c r="A55" s="7"/>
      <c r="B55" s="7"/>
      <c r="C55" s="7"/>
      <c r="D55" s="7"/>
      <c r="E55" s="7"/>
      <c r="F55" s="7"/>
      <c r="G55" s="7"/>
      <c r="H55" s="7"/>
      <c r="I55" s="7"/>
      <c r="J55" s="7"/>
      <c r="K55" s="7"/>
    </row>
    <row r="56" spans="1:11" x14ac:dyDescent="0.2">
      <c r="A56" s="21" t="s">
        <v>41</v>
      </c>
      <c r="B56" s="7"/>
      <c r="C56" s="7"/>
      <c r="D56" s="7"/>
      <c r="E56" s="22">
        <v>3.4000000000000002E-2</v>
      </c>
      <c r="F56" s="22"/>
      <c r="G56" s="22"/>
      <c r="H56" s="22"/>
      <c r="I56" s="7"/>
      <c r="J56" s="7"/>
      <c r="K56" s="7"/>
    </row>
    <row r="57" spans="1:11" x14ac:dyDescent="0.2">
      <c r="C57" s="8" t="s">
        <v>42</v>
      </c>
      <c r="E57" s="23">
        <v>3.4000000000000002E-2</v>
      </c>
    </row>
    <row r="58" spans="1:11" x14ac:dyDescent="0.2">
      <c r="C58" s="8" t="s">
        <v>43</v>
      </c>
      <c r="E58" s="24">
        <v>7.6310000000000003E-2</v>
      </c>
    </row>
    <row r="59" spans="1:11" x14ac:dyDescent="0.2">
      <c r="C59" s="8" t="s">
        <v>44</v>
      </c>
      <c r="E59" s="25">
        <v>0.02</v>
      </c>
      <c r="F59" s="26" t="s">
        <v>45</v>
      </c>
      <c r="G59" s="26"/>
      <c r="H59" s="26"/>
    </row>
  </sheetData>
  <mergeCells count="4">
    <mergeCell ref="A1:I1"/>
    <mergeCell ref="A2:I2"/>
    <mergeCell ref="A3:I3"/>
    <mergeCell ref="A4:I4"/>
  </mergeCells>
  <phoneticPr fontId="6" type="noConversion"/>
  <pageMargins left="0.75" right="0.75" top="1" bottom="1" header="0.5" footer="0.5"/>
  <pageSetup scale="8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31FC19-1B62-484E-A768-B2469F860A79}">
  <dimension ref="B1:Y53"/>
  <sheetViews>
    <sheetView showGridLines="0" zoomScale="80" zoomScaleNormal="80" workbookViewId="0">
      <selection activeCell="C1" sqref="B1:C1048576"/>
    </sheetView>
  </sheetViews>
  <sheetFormatPr defaultRowHeight="12.75" x14ac:dyDescent="0.2"/>
  <cols>
    <col min="2" max="3" width="5" hidden="1" customWidth="1"/>
    <col min="4" max="4" width="6.6640625" customWidth="1"/>
    <col min="5" max="5" width="13.6640625" customWidth="1"/>
    <col min="6" max="6" width="31.5" bestFit="1" customWidth="1"/>
    <col min="7" max="7" width="36.5" customWidth="1"/>
    <col min="8" max="8" width="46.33203125" customWidth="1"/>
    <col min="9" max="9" width="35" bestFit="1" customWidth="1"/>
    <col min="10" max="10" width="11.5" customWidth="1"/>
    <col min="11" max="11" width="10.1640625" customWidth="1"/>
    <col min="12" max="12" width="34.33203125" customWidth="1"/>
    <col min="13" max="13" width="37.6640625" customWidth="1"/>
    <col min="14" max="14" width="18" customWidth="1"/>
    <col min="15" max="15" width="13.5" customWidth="1"/>
    <col min="16" max="16" width="15.1640625" customWidth="1"/>
    <col min="17" max="17" width="14.5" customWidth="1"/>
    <col min="18" max="18" width="15" customWidth="1"/>
    <col min="19" max="19" width="16.5" customWidth="1"/>
    <col min="20" max="20" width="14.5" customWidth="1"/>
    <col min="21" max="22" width="13.5" customWidth="1"/>
    <col min="23" max="23" width="17.6640625" customWidth="1"/>
    <col min="24" max="24" width="11.5" customWidth="1"/>
    <col min="25" max="25" width="15.5" customWidth="1"/>
  </cols>
  <sheetData>
    <row r="1" spans="2:25" ht="13.5" thickBot="1" x14ac:dyDescent="0.25">
      <c r="D1" s="96"/>
      <c r="G1" s="95"/>
      <c r="W1" s="96"/>
    </row>
    <row r="2" spans="2:25" ht="18.75" thickBot="1" x14ac:dyDescent="0.3">
      <c r="D2" s="204" t="s">
        <v>191</v>
      </c>
      <c r="E2" s="205"/>
      <c r="F2" s="205"/>
      <c r="G2" s="205"/>
      <c r="H2" s="206"/>
      <c r="I2" s="207" t="s">
        <v>192</v>
      </c>
      <c r="J2" s="208"/>
      <c r="K2" s="208"/>
      <c r="L2" s="208"/>
      <c r="M2" s="209"/>
      <c r="N2" s="205" t="s">
        <v>193</v>
      </c>
      <c r="O2" s="205"/>
      <c r="P2" s="205"/>
      <c r="Q2" s="205"/>
      <c r="R2" s="205"/>
      <c r="S2" s="207" t="s">
        <v>194</v>
      </c>
      <c r="T2" s="208"/>
      <c r="U2" s="208"/>
      <c r="V2" s="208"/>
      <c r="W2" s="208"/>
      <c r="X2" s="208"/>
      <c r="Y2" s="208"/>
    </row>
    <row r="3" spans="2:25" ht="39" thickBot="1" x14ac:dyDescent="0.25">
      <c r="B3" s="109" t="s">
        <v>195</v>
      </c>
      <c r="C3" s="109" t="s">
        <v>196</v>
      </c>
      <c r="D3" s="94" t="s">
        <v>197</v>
      </c>
      <c r="E3" s="101" t="s">
        <v>198</v>
      </c>
      <c r="F3" s="101" t="s">
        <v>3</v>
      </c>
      <c r="G3" s="97" t="s">
        <v>199</v>
      </c>
      <c r="H3" s="100" t="s">
        <v>200</v>
      </c>
      <c r="I3" s="102" t="s">
        <v>201</v>
      </c>
      <c r="J3" s="98" t="s">
        <v>202</v>
      </c>
      <c r="K3" s="106" t="s">
        <v>203</v>
      </c>
      <c r="L3" s="102" t="s">
        <v>204</v>
      </c>
      <c r="M3" s="98" t="s">
        <v>205</v>
      </c>
      <c r="N3" s="100" t="s">
        <v>206</v>
      </c>
      <c r="O3" s="100" t="s">
        <v>207</v>
      </c>
      <c r="P3" s="100" t="s">
        <v>208</v>
      </c>
      <c r="Q3" s="100" t="s">
        <v>209</v>
      </c>
      <c r="R3" s="105" t="s">
        <v>210</v>
      </c>
      <c r="S3" s="107" t="s">
        <v>211</v>
      </c>
      <c r="T3" s="98" t="s">
        <v>207</v>
      </c>
      <c r="U3" s="108" t="s">
        <v>212</v>
      </c>
      <c r="V3" s="108" t="s">
        <v>300</v>
      </c>
      <c r="W3" s="99" t="s">
        <v>213</v>
      </c>
      <c r="X3" s="98" t="s">
        <v>214</v>
      </c>
      <c r="Y3" s="99" t="s">
        <v>210</v>
      </c>
    </row>
    <row r="4" spans="2:25" ht="26.25" thickBot="1" x14ac:dyDescent="0.3">
      <c r="B4" s="103" t="str">
        <f t="shared" ref="B4" si="0">F4&amp;"_"&amp;G4&amp;"_"&amp;H4</f>
        <v>Boiler_High-Efficiency-Condensing Boiler_Minimum 90% Thermal Efficiency and 300 kBtu/hr input</v>
      </c>
      <c r="C4" s="103" t="str">
        <f t="shared" ref="C4" si="1">IF(J4="All",I4&amp;"_"&amp;K4&amp;"_"&amp;L4&amp;"_"&amp;M4,I4&amp;"_"&amp;J4&amp;"_"&amp;K4&amp;"_"&amp;L4&amp;"_"&amp;M4)</f>
        <v>Boiler_Existing_AFUE 80% (Standard)_AFUE 97%</v>
      </c>
      <c r="D4" s="81">
        <v>1</v>
      </c>
      <c r="E4" s="82" t="s">
        <v>215</v>
      </c>
      <c r="F4" s="82" t="s">
        <v>53</v>
      </c>
      <c r="G4" s="82" t="s">
        <v>115</v>
      </c>
      <c r="H4" s="82" t="s">
        <v>112</v>
      </c>
      <c r="I4" s="83" t="s">
        <v>53</v>
      </c>
      <c r="J4" s="83" t="s">
        <v>216</v>
      </c>
      <c r="K4" s="83" t="s">
        <v>217</v>
      </c>
      <c r="L4" s="83" t="s">
        <v>218</v>
      </c>
      <c r="M4" s="83" t="s">
        <v>219</v>
      </c>
      <c r="N4" s="84">
        <v>1.5</v>
      </c>
      <c r="O4" s="84" t="s">
        <v>102</v>
      </c>
      <c r="P4" s="85">
        <v>8.89</v>
      </c>
      <c r="Q4" s="81">
        <v>20</v>
      </c>
      <c r="R4" s="85">
        <v>6</v>
      </c>
      <c r="S4" s="86">
        <v>2864.6921534047092</v>
      </c>
      <c r="T4" s="87" t="s">
        <v>284</v>
      </c>
      <c r="U4" s="86">
        <v>1.7758629074935079</v>
      </c>
      <c r="V4" s="87" t="s">
        <v>301</v>
      </c>
      <c r="W4" s="87">
        <v>10.743500000000003</v>
      </c>
      <c r="X4" s="88">
        <v>25</v>
      </c>
      <c r="Y4" s="87">
        <v>10.11153224913495</v>
      </c>
    </row>
    <row r="5" spans="2:25" ht="26.25" thickBot="1" x14ac:dyDescent="0.3">
      <c r="B5" s="103" t="str">
        <f t="shared" ref="B5:B53" si="2">F5&amp;"_"&amp;G5&amp;"_"&amp;H5</f>
        <v>Boiler_Mid Efficiency Non-Condensing_Minimum 85% Thermal Efficiency and ??? kBtu input</v>
      </c>
      <c r="C5" s="103" t="str">
        <f t="shared" ref="C5:C53" si="3">IF(J5="All",I5&amp;"_"&amp;K5&amp;"_"&amp;L5&amp;"_"&amp;M5,I5&amp;"_"&amp;J5&amp;"_"&amp;K5&amp;"_"&amp;L5&amp;"_"&amp;M5)</f>
        <v>Boiler_Existing_AFUE 80% (Standard)_AFUE 85%</v>
      </c>
      <c r="D5" s="89">
        <v>2</v>
      </c>
      <c r="E5" s="90" t="s">
        <v>215</v>
      </c>
      <c r="F5" s="90" t="s">
        <v>53</v>
      </c>
      <c r="G5" s="90" t="s">
        <v>220</v>
      </c>
      <c r="H5" s="90" t="s">
        <v>221</v>
      </c>
      <c r="I5" s="90" t="s">
        <v>53</v>
      </c>
      <c r="J5" s="90" t="s">
        <v>216</v>
      </c>
      <c r="K5" s="90" t="s">
        <v>217</v>
      </c>
      <c r="L5" s="90" t="s">
        <v>218</v>
      </c>
      <c r="M5" s="90" t="s">
        <v>222</v>
      </c>
      <c r="N5" s="92" t="s">
        <v>223</v>
      </c>
      <c r="O5" s="92" t="s">
        <v>102</v>
      </c>
      <c r="P5" s="91" t="s">
        <v>223</v>
      </c>
      <c r="Q5" s="89">
        <v>20</v>
      </c>
      <c r="R5" s="91">
        <v>0.75</v>
      </c>
      <c r="S5" s="93">
        <v>296.75534834699602</v>
      </c>
      <c r="T5" s="91" t="s">
        <v>284</v>
      </c>
      <c r="U5" s="93">
        <v>0.90244915857485231</v>
      </c>
      <c r="V5" s="91" t="s">
        <v>301</v>
      </c>
      <c r="W5" s="91">
        <v>6.0710749999999996</v>
      </c>
      <c r="X5" s="92">
        <v>25</v>
      </c>
      <c r="Y5" s="91">
        <v>5.7139563529411763</v>
      </c>
    </row>
    <row r="6" spans="2:25" ht="26.25" thickBot="1" x14ac:dyDescent="0.3">
      <c r="B6" s="103" t="str">
        <f t="shared" si="2"/>
        <v>Boiler Steam Trap_Steam Trap fitted to Steam Boiler_Minimum 300 kBtu input and steam pressures at 7psig or greater</v>
      </c>
      <c r="C6" s="103" t="str">
        <f t="shared" si="3"/>
        <v>Steam Trap Maintenance_Existing_Degrade performance_Cleaning and maintenance</v>
      </c>
      <c r="D6" s="81">
        <v>3</v>
      </c>
      <c r="E6" s="82" t="s">
        <v>215</v>
      </c>
      <c r="F6" s="82" t="s">
        <v>133</v>
      </c>
      <c r="G6" s="82" t="s">
        <v>150</v>
      </c>
      <c r="H6" s="82" t="s">
        <v>151</v>
      </c>
      <c r="I6" s="83" t="s">
        <v>224</v>
      </c>
      <c r="J6" s="83" t="s">
        <v>216</v>
      </c>
      <c r="K6" s="83" t="s">
        <v>217</v>
      </c>
      <c r="L6" s="83" t="s">
        <v>225</v>
      </c>
      <c r="M6" s="83" t="s">
        <v>226</v>
      </c>
      <c r="N6" s="84">
        <v>136.9</v>
      </c>
      <c r="O6" s="84" t="s">
        <v>47</v>
      </c>
      <c r="P6" s="85">
        <v>315</v>
      </c>
      <c r="Q6" s="81">
        <v>7</v>
      </c>
      <c r="R6" s="85">
        <v>125</v>
      </c>
      <c r="S6" s="86">
        <v>137.44617346101299</v>
      </c>
      <c r="T6" s="87" t="s">
        <v>285</v>
      </c>
      <c r="U6" s="86">
        <v>137.44617346101299</v>
      </c>
      <c r="V6" s="87" t="s">
        <v>285</v>
      </c>
      <c r="W6" s="87">
        <v>75.61</v>
      </c>
      <c r="X6" s="88">
        <v>6</v>
      </c>
      <c r="Y6" s="87">
        <v>69.732542222222222</v>
      </c>
    </row>
    <row r="7" spans="2:25" ht="15.75" thickBot="1" x14ac:dyDescent="0.3">
      <c r="B7" s="103" t="str">
        <f t="shared" si="2"/>
        <v>Boiler Vent Damper_Boiler Vent Damper_Minimum 1,000 kBtu/hr input</v>
      </c>
      <c r="C7" s="103" t="str">
        <f t="shared" si="3"/>
        <v>HVAC - Shut Off Damper_Existing_No damper_Damper installed</v>
      </c>
      <c r="D7" s="89">
        <v>4</v>
      </c>
      <c r="E7" s="90" t="s">
        <v>215</v>
      </c>
      <c r="F7" s="90" t="s">
        <v>14</v>
      </c>
      <c r="G7" s="90" t="s">
        <v>14</v>
      </c>
      <c r="H7" s="90" t="s">
        <v>152</v>
      </c>
      <c r="I7" s="90" t="s">
        <v>227</v>
      </c>
      <c r="J7" s="90" t="s">
        <v>216</v>
      </c>
      <c r="K7" s="90" t="s">
        <v>217</v>
      </c>
      <c r="L7" s="90" t="s">
        <v>228</v>
      </c>
      <c r="M7" s="90" t="s">
        <v>229</v>
      </c>
      <c r="N7" s="92">
        <v>270</v>
      </c>
      <c r="O7" s="92" t="s">
        <v>47</v>
      </c>
      <c r="P7" s="91">
        <v>1.5</v>
      </c>
      <c r="Q7" s="89">
        <v>12</v>
      </c>
      <c r="R7" s="91">
        <v>1000</v>
      </c>
      <c r="S7" s="93">
        <v>35.160559439977632</v>
      </c>
      <c r="T7" s="91" t="s">
        <v>285</v>
      </c>
      <c r="U7" s="93">
        <v>35.160559439977632</v>
      </c>
      <c r="V7" s="91" t="s">
        <v>285</v>
      </c>
      <c r="W7" s="91">
        <v>1863.8300000000002</v>
      </c>
      <c r="X7" s="92">
        <v>15</v>
      </c>
      <c r="Y7" s="91">
        <v>559.14771000000007</v>
      </c>
    </row>
    <row r="8" spans="2:25" ht="26.25" thickBot="1" x14ac:dyDescent="0.3">
      <c r="B8" s="103" t="str">
        <f t="shared" si="2"/>
        <v>Clothes Washer_Commercial Gas Washer_1.8 MEF</v>
      </c>
      <c r="C8" s="103" t="str">
        <f t="shared" si="3"/>
        <v>Commercial Clothes Washers - ENERGY STAR_Existing_Standard laundry machine_ESTAR/High MEF unit installed</v>
      </c>
      <c r="D8" s="81">
        <v>5</v>
      </c>
      <c r="E8" s="82" t="s">
        <v>215</v>
      </c>
      <c r="F8" s="82" t="s">
        <v>11</v>
      </c>
      <c r="G8" s="82" t="s">
        <v>16</v>
      </c>
      <c r="H8" s="82" t="s">
        <v>22</v>
      </c>
      <c r="I8" s="83" t="s">
        <v>230</v>
      </c>
      <c r="J8" s="83" t="s">
        <v>216</v>
      </c>
      <c r="K8" s="83" t="s">
        <v>217</v>
      </c>
      <c r="L8" s="83" t="s">
        <v>231</v>
      </c>
      <c r="M8" s="83" t="s">
        <v>232</v>
      </c>
      <c r="N8" s="84">
        <v>90</v>
      </c>
      <c r="O8" s="84" t="s">
        <v>47</v>
      </c>
      <c r="P8" s="85">
        <v>200</v>
      </c>
      <c r="Q8" s="81">
        <v>10</v>
      </c>
      <c r="R8" s="85">
        <v>180</v>
      </c>
      <c r="S8" s="86">
        <v>38.405828480981313</v>
      </c>
      <c r="T8" s="87" t="s">
        <v>286</v>
      </c>
      <c r="U8" s="86">
        <v>38.405828480981313</v>
      </c>
      <c r="V8" s="87" t="s">
        <v>286</v>
      </c>
      <c r="W8" s="87">
        <v>443.38999999999993</v>
      </c>
      <c r="X8" s="88">
        <v>7.1000000000000005</v>
      </c>
      <c r="Y8" s="87">
        <v>133.01757000000001</v>
      </c>
    </row>
    <row r="9" spans="2:25" ht="26.25" thickBot="1" x14ac:dyDescent="0.3">
      <c r="B9" s="103" t="str">
        <f t="shared" si="2"/>
        <v>Convection Oven (Grocery)_Energy Star_&gt;= 44% Cooking Efficiency,&lt;= 13,000 Btu/hr Idle Rate</v>
      </c>
      <c r="C9" s="103" t="str">
        <f t="shared" si="3"/>
        <v>Oven_Grocery_Existing_Standard_ENERGY STAR (&gt;44% Baking Efficiency)</v>
      </c>
      <c r="D9" s="89">
        <v>6</v>
      </c>
      <c r="E9" s="90" t="s">
        <v>215</v>
      </c>
      <c r="F9" s="90" t="s">
        <v>134</v>
      </c>
      <c r="G9" s="90" t="s">
        <v>15</v>
      </c>
      <c r="H9" s="90" t="s">
        <v>85</v>
      </c>
      <c r="I9" s="90" t="s">
        <v>233</v>
      </c>
      <c r="J9" s="90" t="s">
        <v>234</v>
      </c>
      <c r="K9" s="90" t="s">
        <v>217</v>
      </c>
      <c r="L9" s="90" t="s">
        <v>235</v>
      </c>
      <c r="M9" s="90" t="s">
        <v>236</v>
      </c>
      <c r="N9" s="92">
        <v>368</v>
      </c>
      <c r="O9" s="92" t="s">
        <v>86</v>
      </c>
      <c r="P9" s="91">
        <v>900</v>
      </c>
      <c r="Q9" s="89">
        <v>12</v>
      </c>
      <c r="R9" s="91">
        <v>800</v>
      </c>
      <c r="S9" s="93">
        <v>243.37536850115339</v>
      </c>
      <c r="T9" s="91" t="s">
        <v>287</v>
      </c>
      <c r="U9" s="93">
        <v>243.37536850115339</v>
      </c>
      <c r="V9" s="91" t="s">
        <v>287</v>
      </c>
      <c r="W9" s="91">
        <v>54.41</v>
      </c>
      <c r="X9" s="92">
        <v>12</v>
      </c>
      <c r="Y9" s="91">
        <v>54.406199999999998</v>
      </c>
    </row>
    <row r="10" spans="2:25" ht="26.25" thickBot="1" x14ac:dyDescent="0.3">
      <c r="B10" s="103" t="str">
        <f t="shared" si="2"/>
        <v>Convection Oven (Lodging)_Energy Star_&gt;= 44% Cooking Efficiency,&lt;= 13,000 Btu/hr Idle Rate</v>
      </c>
      <c r="C10" s="103" t="str">
        <f t="shared" si="3"/>
        <v>Oven_Lodging_Existing_Standard_ENERGY STAR (&gt;44% Baking Efficiency)</v>
      </c>
      <c r="D10" s="81">
        <v>7</v>
      </c>
      <c r="E10" s="82" t="s">
        <v>215</v>
      </c>
      <c r="F10" s="82" t="s">
        <v>135</v>
      </c>
      <c r="G10" s="82" t="s">
        <v>15</v>
      </c>
      <c r="H10" s="82" t="s">
        <v>85</v>
      </c>
      <c r="I10" s="83" t="s">
        <v>233</v>
      </c>
      <c r="J10" s="83" t="s">
        <v>237</v>
      </c>
      <c r="K10" s="83" t="s">
        <v>217</v>
      </c>
      <c r="L10" s="83" t="s">
        <v>235</v>
      </c>
      <c r="M10" s="83" t="s">
        <v>236</v>
      </c>
      <c r="N10" s="84">
        <v>219</v>
      </c>
      <c r="O10" s="84" t="s">
        <v>86</v>
      </c>
      <c r="P10" s="85">
        <v>900</v>
      </c>
      <c r="Q10" s="81">
        <v>12</v>
      </c>
      <c r="R10" s="85">
        <v>800</v>
      </c>
      <c r="S10" s="86">
        <v>243.37536850115333</v>
      </c>
      <c r="T10" s="87" t="s">
        <v>287</v>
      </c>
      <c r="U10" s="86">
        <v>243.37536850115333</v>
      </c>
      <c r="V10" s="87" t="s">
        <v>287</v>
      </c>
      <c r="W10" s="87">
        <v>54.41</v>
      </c>
      <c r="X10" s="88">
        <v>12</v>
      </c>
      <c r="Y10" s="87">
        <v>54.406199999999998</v>
      </c>
    </row>
    <row r="11" spans="2:25" ht="26.25" thickBot="1" x14ac:dyDescent="0.3">
      <c r="B11" s="103" t="str">
        <f t="shared" si="2"/>
        <v>Convection Oven (Restaurant)_Energy Star_&gt;= 44% Cooking Efficiency,&lt;= 13,000 Btu/hr Idle Rate</v>
      </c>
      <c r="C11" s="103" t="str">
        <f t="shared" si="3"/>
        <v>Oven_Restaurant_Existing_Standard_ENERGY STAR (&gt;44% Baking Efficiency)</v>
      </c>
      <c r="D11" s="89">
        <v>8</v>
      </c>
      <c r="E11" s="90" t="s">
        <v>215</v>
      </c>
      <c r="F11" s="90" t="s">
        <v>84</v>
      </c>
      <c r="G11" s="90" t="s">
        <v>15</v>
      </c>
      <c r="H11" s="90" t="s">
        <v>85</v>
      </c>
      <c r="I11" s="90" t="s">
        <v>233</v>
      </c>
      <c r="J11" s="90" t="s">
        <v>238</v>
      </c>
      <c r="K11" s="90" t="s">
        <v>217</v>
      </c>
      <c r="L11" s="90" t="s">
        <v>235</v>
      </c>
      <c r="M11" s="90" t="s">
        <v>236</v>
      </c>
      <c r="N11" s="92">
        <v>649</v>
      </c>
      <c r="O11" s="92" t="s">
        <v>86</v>
      </c>
      <c r="P11" s="91">
        <v>900</v>
      </c>
      <c r="Q11" s="89">
        <v>12</v>
      </c>
      <c r="R11" s="91">
        <v>800</v>
      </c>
      <c r="S11" s="93">
        <v>243.3753685011533</v>
      </c>
      <c r="T11" s="91" t="s">
        <v>287</v>
      </c>
      <c r="U11" s="93">
        <v>243.3753685011533</v>
      </c>
      <c r="V11" s="91" t="s">
        <v>287</v>
      </c>
      <c r="W11" s="91">
        <v>54.41</v>
      </c>
      <c r="X11" s="92">
        <v>12</v>
      </c>
      <c r="Y11" s="91">
        <v>54.406199999999998</v>
      </c>
    </row>
    <row r="12" spans="2:25" ht="26.25" thickBot="1" x14ac:dyDescent="0.3">
      <c r="B12" s="103" t="str">
        <f t="shared" si="2"/>
        <v>Convection Oven (School)_Energy Star_&gt;= 44% Cooking Efficiency,&lt;= 13,000 Btu/hr Idle Rate</v>
      </c>
      <c r="C12" s="103" t="str">
        <f t="shared" si="3"/>
        <v>Oven_Education_Existing_Standard_ENERGY STAR (&gt;44% Baking Efficiency)</v>
      </c>
      <c r="D12" s="81">
        <v>9</v>
      </c>
      <c r="E12" s="82" t="s">
        <v>215</v>
      </c>
      <c r="F12" s="82" t="s">
        <v>136</v>
      </c>
      <c r="G12" s="82" t="s">
        <v>15</v>
      </c>
      <c r="H12" s="82" t="s">
        <v>85</v>
      </c>
      <c r="I12" s="83" t="s">
        <v>233</v>
      </c>
      <c r="J12" s="83" t="s">
        <v>239</v>
      </c>
      <c r="K12" s="83" t="s">
        <v>217</v>
      </c>
      <c r="L12" s="83" t="s">
        <v>235</v>
      </c>
      <c r="M12" s="83" t="s">
        <v>236</v>
      </c>
      <c r="N12" s="84">
        <v>141</v>
      </c>
      <c r="O12" s="84" t="s">
        <v>86</v>
      </c>
      <c r="P12" s="85">
        <v>900</v>
      </c>
      <c r="Q12" s="81">
        <v>12</v>
      </c>
      <c r="R12" s="85">
        <v>800</v>
      </c>
      <c r="S12" s="86">
        <v>243.37536850115336</v>
      </c>
      <c r="T12" s="87" t="s">
        <v>287</v>
      </c>
      <c r="U12" s="86">
        <v>243.37536850115336</v>
      </c>
      <c r="V12" s="87" t="s">
        <v>287</v>
      </c>
      <c r="W12" s="87">
        <v>54.41</v>
      </c>
      <c r="X12" s="88">
        <v>12</v>
      </c>
      <c r="Y12" s="87">
        <v>54.406199999999998</v>
      </c>
    </row>
    <row r="13" spans="2:25" ht="26.25" thickBot="1" x14ac:dyDescent="0.3">
      <c r="B13" s="103" t="str">
        <f t="shared" si="2"/>
        <v>DCV_Demand Control Ventilation_Meet JUARC Guidelines for DCV RTUs in 5-20 ton</v>
      </c>
      <c r="C13" s="103" t="str">
        <f t="shared" si="3"/>
        <v>HVAC - Demand Controlled Ventilation_Existing_Constant ventilation_DCV enabled</v>
      </c>
      <c r="D13" s="89">
        <v>10</v>
      </c>
      <c r="E13" s="90" t="s">
        <v>215</v>
      </c>
      <c r="F13" s="90" t="s">
        <v>82</v>
      </c>
      <c r="G13" s="90" t="s">
        <v>59</v>
      </c>
      <c r="H13" s="90" t="s">
        <v>61</v>
      </c>
      <c r="I13" s="90" t="s">
        <v>240</v>
      </c>
      <c r="J13" s="90" t="s">
        <v>216</v>
      </c>
      <c r="K13" s="90" t="s">
        <v>217</v>
      </c>
      <c r="L13" s="90" t="s">
        <v>241</v>
      </c>
      <c r="M13" s="90" t="s">
        <v>242</v>
      </c>
      <c r="N13" s="92">
        <v>13</v>
      </c>
      <c r="O13" s="92" t="s">
        <v>83</v>
      </c>
      <c r="P13" s="91">
        <v>55</v>
      </c>
      <c r="Q13" s="89">
        <v>10</v>
      </c>
      <c r="R13" s="91">
        <v>20</v>
      </c>
      <c r="S13" s="93">
        <v>3.1974444444444444E-2</v>
      </c>
      <c r="T13" s="91" t="s">
        <v>288</v>
      </c>
      <c r="U13" s="93">
        <v>11.304074999999997</v>
      </c>
      <c r="V13" s="91" t="s">
        <v>330</v>
      </c>
      <c r="W13" s="91">
        <v>106.81875000000001</v>
      </c>
      <c r="X13" s="92">
        <v>15</v>
      </c>
      <c r="Y13" s="91">
        <v>44.861943750000002</v>
      </c>
    </row>
    <row r="14" spans="2:25" ht="39" thickBot="1" x14ac:dyDescent="0.3">
      <c r="B14" s="103" t="str">
        <f t="shared" si="2"/>
        <v>DHW Recirculation Controls_Schedule Control for Continuous Operation DHW Recirculation Pump_Add time clock or other schedule control for continuous operation DHW recirculation pump</v>
      </c>
      <c r="C14" s="103" t="str">
        <f t="shared" si="3"/>
        <v>Water Heater - Central Controls_Existing_No central controls_Central water boiler controls installed</v>
      </c>
      <c r="D14" s="81">
        <v>11</v>
      </c>
      <c r="E14" s="82" t="s">
        <v>215</v>
      </c>
      <c r="F14" s="82" t="s">
        <v>137</v>
      </c>
      <c r="G14" s="82" t="s">
        <v>153</v>
      </c>
      <c r="H14" s="82" t="s">
        <v>154</v>
      </c>
      <c r="I14" s="83" t="s">
        <v>243</v>
      </c>
      <c r="J14" s="83" t="s">
        <v>216</v>
      </c>
      <c r="K14" s="83" t="s">
        <v>217</v>
      </c>
      <c r="L14" s="83" t="s">
        <v>244</v>
      </c>
      <c r="M14" s="83" t="s">
        <v>245</v>
      </c>
      <c r="N14" s="84">
        <v>72</v>
      </c>
      <c r="O14" s="84" t="s">
        <v>166</v>
      </c>
      <c r="P14" s="85">
        <v>300</v>
      </c>
      <c r="Q14" s="81">
        <v>15</v>
      </c>
      <c r="R14" s="85">
        <v>100</v>
      </c>
      <c r="S14" s="86">
        <v>646.52388499057565</v>
      </c>
      <c r="T14" s="87" t="s">
        <v>289</v>
      </c>
      <c r="U14" s="86">
        <v>646.52388499057565</v>
      </c>
      <c r="V14" s="87" t="s">
        <v>289</v>
      </c>
      <c r="W14" s="87">
        <v>2146.2999999999997</v>
      </c>
      <c r="X14" s="88">
        <v>15</v>
      </c>
      <c r="Y14" s="87">
        <v>2009.443231101179</v>
      </c>
    </row>
    <row r="15" spans="2:25" ht="39" thickBot="1" x14ac:dyDescent="0.3">
      <c r="B15" s="103" t="str">
        <f t="shared" si="2"/>
        <v>DHW Recirculation Controls_Schedule Control for Continuous Operation DHW Recirculation Pump_Add time clock or other schedule control for continuous operation DHW recirculation pump</v>
      </c>
      <c r="C15" s="103" t="str">
        <f t="shared" si="3"/>
        <v>Water Heater - Central Controls_Existing_No central controls_Central water boiler controls installed</v>
      </c>
      <c r="D15" s="89">
        <v>12</v>
      </c>
      <c r="E15" s="90" t="s">
        <v>215</v>
      </c>
      <c r="F15" s="90" t="s">
        <v>137</v>
      </c>
      <c r="G15" s="90" t="s">
        <v>153</v>
      </c>
      <c r="H15" s="90" t="s">
        <v>154</v>
      </c>
      <c r="I15" s="90" t="s">
        <v>243</v>
      </c>
      <c r="J15" s="90" t="s">
        <v>216</v>
      </c>
      <c r="K15" s="90" t="s">
        <v>217</v>
      </c>
      <c r="L15" s="90" t="s">
        <v>244</v>
      </c>
      <c r="M15" s="90" t="s">
        <v>245</v>
      </c>
      <c r="N15" s="92">
        <v>72</v>
      </c>
      <c r="O15" s="92" t="s">
        <v>166</v>
      </c>
      <c r="P15" s="91">
        <v>300</v>
      </c>
      <c r="Q15" s="89">
        <v>15</v>
      </c>
      <c r="R15" s="91">
        <v>100</v>
      </c>
      <c r="S15" s="93">
        <v>646.52388499057565</v>
      </c>
      <c r="T15" s="91" t="s">
        <v>289</v>
      </c>
      <c r="U15" s="93">
        <v>646.52388499057565</v>
      </c>
      <c r="V15" s="91" t="s">
        <v>289</v>
      </c>
      <c r="W15" s="91">
        <v>2146.2999999999997</v>
      </c>
      <c r="X15" s="92">
        <v>15</v>
      </c>
      <c r="Y15" s="91">
        <v>2009.443231101179</v>
      </c>
    </row>
    <row r="16" spans="2:25" ht="26.25" thickBot="1" x14ac:dyDescent="0.3">
      <c r="B16" s="103" t="str">
        <f t="shared" si="2"/>
        <v>Domestic Hot Water Tanks - Condensing_Condensing Tank_Minimum 91% AFUE or 91% Thermal Efficiency</v>
      </c>
      <c r="C16" s="103" t="str">
        <f t="shared" si="3"/>
        <v>Water Heater_Existing_TE 80%_TE 96%</v>
      </c>
      <c r="D16" s="81">
        <v>13</v>
      </c>
      <c r="E16" s="82" t="s">
        <v>215</v>
      </c>
      <c r="F16" s="82" t="s">
        <v>101</v>
      </c>
      <c r="G16" s="82" t="s">
        <v>13</v>
      </c>
      <c r="H16" s="82" t="s">
        <v>21</v>
      </c>
      <c r="I16" s="83" t="s">
        <v>276</v>
      </c>
      <c r="J16" s="83" t="s">
        <v>216</v>
      </c>
      <c r="K16" s="83" t="s">
        <v>217</v>
      </c>
      <c r="L16" s="83" t="s">
        <v>277</v>
      </c>
      <c r="M16" s="83" t="s">
        <v>278</v>
      </c>
      <c r="N16" s="84">
        <v>0.79</v>
      </c>
      <c r="O16" s="84" t="s">
        <v>102</v>
      </c>
      <c r="P16" s="85">
        <v>6.06</v>
      </c>
      <c r="Q16" s="81">
        <v>15</v>
      </c>
      <c r="R16" s="85">
        <v>2.5</v>
      </c>
      <c r="S16" s="86">
        <v>5.5254422108049157</v>
      </c>
      <c r="T16" s="87" t="s">
        <v>296</v>
      </c>
      <c r="U16" s="86">
        <v>3.7987415199283809</v>
      </c>
      <c r="V16" s="87" t="s">
        <v>296</v>
      </c>
      <c r="W16" s="87">
        <v>2.6193750000000007</v>
      </c>
      <c r="X16" s="88">
        <v>10</v>
      </c>
      <c r="Y16" s="87">
        <v>1.121071487285781</v>
      </c>
    </row>
    <row r="17" spans="2:25" ht="26.25" thickBot="1" x14ac:dyDescent="0.3">
      <c r="B17" s="103" t="str">
        <f t="shared" si="2"/>
        <v>Double Rack Oven_FSTC Qualified_&gt;=50% Cooking Efficiency, &lt;=35,000 Btu/hr Idle Rate</v>
      </c>
      <c r="C17" s="103" t="str">
        <f t="shared" si="3"/>
        <v>Double Rack Oven_Existing_Standard_FTSC Qualified (&gt;50% Cooking Efficiency)</v>
      </c>
      <c r="D17" s="89">
        <v>14</v>
      </c>
      <c r="E17" s="90" t="s">
        <v>215</v>
      </c>
      <c r="F17" s="90" t="s">
        <v>48</v>
      </c>
      <c r="G17" s="90" t="s">
        <v>89</v>
      </c>
      <c r="H17" s="90" t="s">
        <v>90</v>
      </c>
      <c r="I17" s="90" t="s">
        <v>48</v>
      </c>
      <c r="J17" s="90" t="s">
        <v>216</v>
      </c>
      <c r="K17" s="90" t="s">
        <v>217</v>
      </c>
      <c r="L17" s="90" t="s">
        <v>235</v>
      </c>
      <c r="M17" s="90" t="s">
        <v>246</v>
      </c>
      <c r="N17" s="92">
        <v>1806</v>
      </c>
      <c r="O17" s="92" t="s">
        <v>47</v>
      </c>
      <c r="P17" s="91">
        <v>6200</v>
      </c>
      <c r="Q17" s="89">
        <v>12</v>
      </c>
      <c r="R17" s="91">
        <v>2500</v>
      </c>
      <c r="S17" s="93">
        <v>1837.5733040599432</v>
      </c>
      <c r="T17" s="91" t="s">
        <v>287</v>
      </c>
      <c r="U17" s="93">
        <v>1837.5733040599432</v>
      </c>
      <c r="V17" s="91" t="s">
        <v>287</v>
      </c>
      <c r="W17" s="91">
        <v>4287.4399999999996</v>
      </c>
      <c r="X17" s="92">
        <v>12</v>
      </c>
      <c r="Y17" s="91">
        <v>1252.0643825691516</v>
      </c>
    </row>
    <row r="18" spans="2:25" ht="39" thickBot="1" x14ac:dyDescent="0.3">
      <c r="B18" s="103" t="str">
        <f t="shared" si="2"/>
        <v>Energy Saver Kit A_Low Flow Kitchen Pre Rinse Spray Valve and Bath Aerators_PRSV &lt;=1 gpm / Aerators &lt;=.75 gpm</v>
      </c>
      <c r="C18" s="103" t="str">
        <f t="shared" si="3"/>
        <v>Water Heater - Pre-Rinse Spray Valve &amp; Water Heater - Faucet Aerator_Existing_3.5 GPM kitchen sprayer &amp; 2.5 GPM faucet_2 GPM sprayer nozzle &amp; 1.5 GPM faucet?</v>
      </c>
      <c r="D18" s="81">
        <v>15</v>
      </c>
      <c r="E18" s="82" t="s">
        <v>215</v>
      </c>
      <c r="F18" s="82" t="s">
        <v>72</v>
      </c>
      <c r="G18" s="82" t="s">
        <v>73</v>
      </c>
      <c r="H18" s="82" t="s">
        <v>74</v>
      </c>
      <c r="I18" s="83" t="s">
        <v>247</v>
      </c>
      <c r="J18" s="83" t="s">
        <v>216</v>
      </c>
      <c r="K18" s="83" t="s">
        <v>217</v>
      </c>
      <c r="L18" s="83" t="s">
        <v>248</v>
      </c>
      <c r="M18" s="83" t="s">
        <v>249</v>
      </c>
      <c r="N18" s="84">
        <v>89</v>
      </c>
      <c r="O18" s="84" t="s">
        <v>75</v>
      </c>
      <c r="P18" s="85">
        <v>119</v>
      </c>
      <c r="Q18" s="81">
        <v>5</v>
      </c>
      <c r="R18" s="85">
        <v>0</v>
      </c>
      <c r="S18" s="86" t="s">
        <v>250</v>
      </c>
      <c r="T18" s="87" t="s">
        <v>250</v>
      </c>
      <c r="U18" s="86" t="s">
        <v>250</v>
      </c>
      <c r="V18" s="87" t="s">
        <v>250</v>
      </c>
      <c r="W18" s="87" t="s">
        <v>250</v>
      </c>
      <c r="X18" s="88" t="s">
        <v>250</v>
      </c>
      <c r="Y18" s="87" t="s">
        <v>250</v>
      </c>
    </row>
    <row r="19" spans="2:25" ht="39" thickBot="1" x14ac:dyDescent="0.3">
      <c r="B19" s="103" t="str">
        <f t="shared" si="2"/>
        <v>Energy Saver Kit A - 30 therms_Low Flow Kitchen Pre Rinse Spray Valve and Bath Aerators_PRSV &lt;=1 gpm / Aerators &lt;=.75 gpm</v>
      </c>
      <c r="C19" s="103" t="str">
        <f t="shared" si="3"/>
        <v>Water Heater - Pre-Rinse Spray Valve &amp; Water Heater - Faucet Aerator_Existing_3.5 GPM kitchen sprayer &amp; 2.5 GPM faucet_2 GPM sprayer nozzle &amp; 1.5 GPM faucet?</v>
      </c>
      <c r="D19" s="89">
        <v>16</v>
      </c>
      <c r="E19" s="90" t="s">
        <v>215</v>
      </c>
      <c r="F19" s="90" t="s">
        <v>169</v>
      </c>
      <c r="G19" s="90" t="s">
        <v>73</v>
      </c>
      <c r="H19" s="90" t="s">
        <v>74</v>
      </c>
      <c r="I19" s="90" t="s">
        <v>247</v>
      </c>
      <c r="J19" s="90" t="s">
        <v>216</v>
      </c>
      <c r="K19" s="90" t="s">
        <v>217</v>
      </c>
      <c r="L19" s="90" t="s">
        <v>248</v>
      </c>
      <c r="M19" s="90" t="s">
        <v>249</v>
      </c>
      <c r="N19" s="92">
        <v>30</v>
      </c>
      <c r="O19" s="92" t="s">
        <v>75</v>
      </c>
      <c r="P19" s="91">
        <v>119</v>
      </c>
      <c r="Q19" s="89">
        <v>5</v>
      </c>
      <c r="R19" s="91">
        <v>0</v>
      </c>
      <c r="S19" s="93" t="s">
        <v>250</v>
      </c>
      <c r="T19" s="91" t="s">
        <v>250</v>
      </c>
      <c r="U19" s="93" t="s">
        <v>250</v>
      </c>
      <c r="V19" s="91" t="s">
        <v>250</v>
      </c>
      <c r="W19" s="91" t="s">
        <v>250</v>
      </c>
      <c r="X19" s="92" t="s">
        <v>250</v>
      </c>
      <c r="Y19" s="91" t="s">
        <v>250</v>
      </c>
    </row>
    <row r="20" spans="2:25" ht="39" thickBot="1" x14ac:dyDescent="0.3">
      <c r="B20" s="103" t="str">
        <f t="shared" si="2"/>
        <v>Energy Saver Kit A - 59 therms_Low Flow Kitchen Pre Rinse Spray Valve and Bath Aerators_PRSV &lt;=1 gpm / Aerators &lt;=.75 gpm</v>
      </c>
      <c r="C20" s="103" t="str">
        <f t="shared" si="3"/>
        <v>Water Heater - Pre-Rinse Spray Valve &amp; Water Heater - Faucet Aerator_Existing_3.5 GPM kitchen sprayer &amp; 2.5 GPM faucet_2 GPM sprayer nozzle &amp; 1.5 GPM faucet?</v>
      </c>
      <c r="D20" s="81">
        <v>17</v>
      </c>
      <c r="E20" s="82" t="s">
        <v>215</v>
      </c>
      <c r="F20" s="82" t="s">
        <v>170</v>
      </c>
      <c r="G20" s="82" t="s">
        <v>73</v>
      </c>
      <c r="H20" s="82" t="s">
        <v>74</v>
      </c>
      <c r="I20" s="83" t="s">
        <v>247</v>
      </c>
      <c r="J20" s="83" t="s">
        <v>216</v>
      </c>
      <c r="K20" s="83" t="s">
        <v>217</v>
      </c>
      <c r="L20" s="83" t="s">
        <v>248</v>
      </c>
      <c r="M20" s="83" t="s">
        <v>249</v>
      </c>
      <c r="N20" s="84">
        <v>59</v>
      </c>
      <c r="O20" s="84" t="s">
        <v>75</v>
      </c>
      <c r="P20" s="85">
        <v>119</v>
      </c>
      <c r="Q20" s="81">
        <v>5</v>
      </c>
      <c r="R20" s="85">
        <v>0</v>
      </c>
      <c r="S20" s="86" t="s">
        <v>250</v>
      </c>
      <c r="T20" s="87" t="s">
        <v>250</v>
      </c>
      <c r="U20" s="86" t="s">
        <v>250</v>
      </c>
      <c r="V20" s="87" t="s">
        <v>250</v>
      </c>
      <c r="W20" s="87" t="s">
        <v>250</v>
      </c>
      <c r="X20" s="88" t="s">
        <v>250</v>
      </c>
      <c r="Y20" s="87" t="s">
        <v>250</v>
      </c>
    </row>
    <row r="21" spans="2:25" ht="15.75" thickBot="1" x14ac:dyDescent="0.3">
      <c r="B21" s="103" t="str">
        <f t="shared" si="2"/>
        <v>Energy Saver Kit B_Low Flow Showerheads_Showerhead &lt;= 1.85 gpm</v>
      </c>
      <c r="C21" s="103" t="str">
        <f t="shared" si="3"/>
        <v>N/A_N/A_N/A_N/A_N/A</v>
      </c>
      <c r="D21" s="89">
        <v>18</v>
      </c>
      <c r="E21" s="90" t="s">
        <v>215</v>
      </c>
      <c r="F21" s="90" t="s">
        <v>79</v>
      </c>
      <c r="G21" s="90" t="s">
        <v>80</v>
      </c>
      <c r="H21" s="90" t="s">
        <v>81</v>
      </c>
      <c r="I21" s="90" t="s">
        <v>250</v>
      </c>
      <c r="J21" s="90" t="s">
        <v>250</v>
      </c>
      <c r="K21" s="90" t="s">
        <v>250</v>
      </c>
      <c r="L21" s="90" t="s">
        <v>250</v>
      </c>
      <c r="M21" s="90" t="s">
        <v>250</v>
      </c>
      <c r="N21" s="92">
        <v>35</v>
      </c>
      <c r="O21" s="92" t="s">
        <v>75</v>
      </c>
      <c r="P21" s="91">
        <v>44</v>
      </c>
      <c r="Q21" s="89">
        <v>10</v>
      </c>
      <c r="R21" s="91">
        <v>0</v>
      </c>
      <c r="S21" s="93" t="s">
        <v>250</v>
      </c>
      <c r="T21" s="91" t="s">
        <v>250</v>
      </c>
      <c r="U21" s="93" t="s">
        <v>250</v>
      </c>
      <c r="V21" s="91" t="s">
        <v>250</v>
      </c>
      <c r="W21" s="91" t="s">
        <v>250</v>
      </c>
      <c r="X21" s="92" t="s">
        <v>250</v>
      </c>
      <c r="Y21" s="91" t="s">
        <v>250</v>
      </c>
    </row>
    <row r="22" spans="2:25" ht="15.75" thickBot="1" x14ac:dyDescent="0.3">
      <c r="B22" s="103" t="str">
        <f t="shared" si="2"/>
        <v>Fryer (Grocery)_Energy Star_&gt;=50% Cooking Efficiency</v>
      </c>
      <c r="C22" s="103" t="str">
        <f t="shared" si="3"/>
        <v>Fryer_Grocery_Existing_Standard_ENERGY STAR</v>
      </c>
      <c r="D22" s="81">
        <v>19</v>
      </c>
      <c r="E22" s="82" t="s">
        <v>215</v>
      </c>
      <c r="F22" s="82" t="s">
        <v>138</v>
      </c>
      <c r="G22" s="82" t="s">
        <v>15</v>
      </c>
      <c r="H22" s="82" t="s">
        <v>98</v>
      </c>
      <c r="I22" s="83" t="s">
        <v>251</v>
      </c>
      <c r="J22" s="83" t="s">
        <v>234</v>
      </c>
      <c r="K22" s="83" t="s">
        <v>217</v>
      </c>
      <c r="L22" s="83" t="s">
        <v>235</v>
      </c>
      <c r="M22" s="83" t="s">
        <v>252</v>
      </c>
      <c r="N22" s="84">
        <v>388</v>
      </c>
      <c r="O22" s="84" t="s">
        <v>99</v>
      </c>
      <c r="P22" s="85">
        <v>1400</v>
      </c>
      <c r="Q22" s="81">
        <v>12</v>
      </c>
      <c r="R22" s="85">
        <v>750</v>
      </c>
      <c r="S22" s="86">
        <v>417.20195761174483</v>
      </c>
      <c r="T22" s="87" t="s">
        <v>287</v>
      </c>
      <c r="U22" s="86">
        <v>417.20195761174483</v>
      </c>
      <c r="V22" s="87" t="s">
        <v>287</v>
      </c>
      <c r="W22" s="87">
        <v>902.15</v>
      </c>
      <c r="X22" s="88">
        <v>5.5</v>
      </c>
      <c r="Y22" s="87">
        <v>563.84362499999997</v>
      </c>
    </row>
    <row r="23" spans="2:25" ht="15.75" thickBot="1" x14ac:dyDescent="0.3">
      <c r="B23" s="103" t="str">
        <f t="shared" si="2"/>
        <v>Fryer (Lodging)_Energy Star_&gt;=50% Cooking Efficiency</v>
      </c>
      <c r="C23" s="103" t="str">
        <f t="shared" si="3"/>
        <v>Fryer_Lodging_Existing_Standard_ENERGY STAR</v>
      </c>
      <c r="D23" s="89">
        <v>20</v>
      </c>
      <c r="E23" s="90" t="s">
        <v>215</v>
      </c>
      <c r="F23" s="90" t="s">
        <v>139</v>
      </c>
      <c r="G23" s="90" t="s">
        <v>15</v>
      </c>
      <c r="H23" s="90" t="s">
        <v>98</v>
      </c>
      <c r="I23" s="90" t="s">
        <v>251</v>
      </c>
      <c r="J23" s="90" t="s">
        <v>237</v>
      </c>
      <c r="K23" s="90" t="s">
        <v>217</v>
      </c>
      <c r="L23" s="90" t="s">
        <v>235</v>
      </c>
      <c r="M23" s="90" t="s">
        <v>252</v>
      </c>
      <c r="N23" s="92">
        <v>231</v>
      </c>
      <c r="O23" s="92" t="s">
        <v>99</v>
      </c>
      <c r="P23" s="91">
        <v>1400</v>
      </c>
      <c r="Q23" s="89">
        <v>12</v>
      </c>
      <c r="R23" s="91">
        <v>750</v>
      </c>
      <c r="S23" s="93">
        <v>417.20195761174477</v>
      </c>
      <c r="T23" s="91" t="s">
        <v>287</v>
      </c>
      <c r="U23" s="93">
        <v>417.20195761174477</v>
      </c>
      <c r="V23" s="91" t="s">
        <v>287</v>
      </c>
      <c r="W23" s="91">
        <v>902.15</v>
      </c>
      <c r="X23" s="92">
        <v>5.5</v>
      </c>
      <c r="Y23" s="91">
        <v>563.84362499999997</v>
      </c>
    </row>
    <row r="24" spans="2:25" ht="26.25" thickBot="1" x14ac:dyDescent="0.3">
      <c r="B24" s="103" t="str">
        <f t="shared" si="2"/>
        <v>Fryer (Restaurant)_Energy Star_&gt;=50% Cooking Efficiency</v>
      </c>
      <c r="C24" s="103" t="str">
        <f t="shared" si="3"/>
        <v>Fryer_Restaurant_Existing_Standard_ENERGY STAR</v>
      </c>
      <c r="D24" s="81">
        <v>21</v>
      </c>
      <c r="E24" s="82" t="s">
        <v>215</v>
      </c>
      <c r="F24" s="82" t="s">
        <v>97</v>
      </c>
      <c r="G24" s="82" t="s">
        <v>15</v>
      </c>
      <c r="H24" s="82" t="s">
        <v>98</v>
      </c>
      <c r="I24" s="83" t="s">
        <v>251</v>
      </c>
      <c r="J24" s="83" t="s">
        <v>238</v>
      </c>
      <c r="K24" s="83" t="s">
        <v>217</v>
      </c>
      <c r="L24" s="83" t="s">
        <v>235</v>
      </c>
      <c r="M24" s="83" t="s">
        <v>252</v>
      </c>
      <c r="N24" s="84">
        <v>685</v>
      </c>
      <c r="O24" s="84" t="s">
        <v>99</v>
      </c>
      <c r="P24" s="85">
        <v>1400</v>
      </c>
      <c r="Q24" s="81">
        <v>12</v>
      </c>
      <c r="R24" s="85">
        <v>750</v>
      </c>
      <c r="S24" s="86">
        <v>417.20195761174477</v>
      </c>
      <c r="T24" s="87" t="s">
        <v>287</v>
      </c>
      <c r="U24" s="86">
        <v>417.20195761174477</v>
      </c>
      <c r="V24" s="87" t="s">
        <v>287</v>
      </c>
      <c r="W24" s="87">
        <v>902.15</v>
      </c>
      <c r="X24" s="88">
        <v>5.5</v>
      </c>
      <c r="Y24" s="87">
        <v>563.84362499999997</v>
      </c>
    </row>
    <row r="25" spans="2:25" ht="15.75" thickBot="1" x14ac:dyDescent="0.3">
      <c r="B25" s="103" t="str">
        <f t="shared" si="2"/>
        <v>Fryer (School)_Energy Star_&gt;=50% Cooking Efficiency</v>
      </c>
      <c r="C25" s="103" t="str">
        <f t="shared" si="3"/>
        <v>Fryer_Education_Existing_Standard_ENERGY STAR</v>
      </c>
      <c r="D25" s="89">
        <v>22</v>
      </c>
      <c r="E25" s="90" t="s">
        <v>215</v>
      </c>
      <c r="F25" s="90" t="s">
        <v>140</v>
      </c>
      <c r="G25" s="90" t="s">
        <v>15</v>
      </c>
      <c r="H25" s="90" t="s">
        <v>98</v>
      </c>
      <c r="I25" s="90" t="s">
        <v>251</v>
      </c>
      <c r="J25" s="90" t="s">
        <v>239</v>
      </c>
      <c r="K25" s="90" t="s">
        <v>217</v>
      </c>
      <c r="L25" s="90" t="s">
        <v>235</v>
      </c>
      <c r="M25" s="90" t="s">
        <v>252</v>
      </c>
      <c r="N25" s="92">
        <v>149</v>
      </c>
      <c r="O25" s="92" t="s">
        <v>99</v>
      </c>
      <c r="P25" s="91">
        <v>1400</v>
      </c>
      <c r="Q25" s="89">
        <v>12</v>
      </c>
      <c r="R25" s="91">
        <v>750</v>
      </c>
      <c r="S25" s="93">
        <v>417.20195761174472</v>
      </c>
      <c r="T25" s="91" t="s">
        <v>287</v>
      </c>
      <c r="U25" s="93">
        <v>417.20195761174472</v>
      </c>
      <c r="V25" s="91" t="s">
        <v>287</v>
      </c>
      <c r="W25" s="91">
        <v>902.15</v>
      </c>
      <c r="X25" s="92">
        <v>5.5</v>
      </c>
      <c r="Y25" s="91">
        <v>563.84362499999997</v>
      </c>
    </row>
    <row r="26" spans="2:25" ht="26.25" thickBot="1" x14ac:dyDescent="0.3">
      <c r="B26" s="103" t="str">
        <f t="shared" si="2"/>
        <v>Gas Conveyor Oven_FSTC Qualified Gas Fired Conveyor Oven_&gt;=42% Baking Efficiency</v>
      </c>
      <c r="C26" s="103" t="str">
        <f t="shared" si="3"/>
        <v>Conveyor Oven_Existing_Standard_Efficient (&gt;44% Baking Efficiency)</v>
      </c>
      <c r="D26" s="81">
        <v>23</v>
      </c>
      <c r="E26" s="82" t="s">
        <v>215</v>
      </c>
      <c r="F26" s="82" t="s">
        <v>60</v>
      </c>
      <c r="G26" s="82" t="s">
        <v>103</v>
      </c>
      <c r="H26" s="82" t="s">
        <v>104</v>
      </c>
      <c r="I26" s="83" t="s">
        <v>253</v>
      </c>
      <c r="J26" s="83" t="s">
        <v>216</v>
      </c>
      <c r="K26" s="83" t="s">
        <v>217</v>
      </c>
      <c r="L26" s="83" t="s">
        <v>235</v>
      </c>
      <c r="M26" s="83" t="s">
        <v>254</v>
      </c>
      <c r="N26" s="84">
        <v>77</v>
      </c>
      <c r="O26" s="84" t="s">
        <v>86</v>
      </c>
      <c r="P26" s="85">
        <v>1800</v>
      </c>
      <c r="Q26" s="81">
        <v>16</v>
      </c>
      <c r="R26" s="85">
        <v>450</v>
      </c>
      <c r="S26" s="86">
        <v>692.27779440086647</v>
      </c>
      <c r="T26" s="87" t="s">
        <v>287</v>
      </c>
      <c r="U26" s="86">
        <v>660.81062192809975</v>
      </c>
      <c r="V26" s="87" t="s">
        <v>287</v>
      </c>
      <c r="W26" s="87">
        <v>2238.0559090909096</v>
      </c>
      <c r="X26" s="88">
        <v>17</v>
      </c>
      <c r="Y26" s="87">
        <v>577.51970964340524</v>
      </c>
    </row>
    <row r="27" spans="2:25" ht="26.25" thickBot="1" x14ac:dyDescent="0.3">
      <c r="B27" s="103" t="str">
        <f t="shared" si="2"/>
        <v>Griddle (Grocery)_Energy Star_&gt;=38% Cooking Efficiency,&lt;= 2650 Btu/hr-sq ft Idle Rate</v>
      </c>
      <c r="C27" s="103" t="str">
        <f t="shared" si="3"/>
        <v>Griddle_Grocery_Existing_Standard_ENERGY STAR</v>
      </c>
      <c r="D27" s="89">
        <v>24</v>
      </c>
      <c r="E27" s="90" t="s">
        <v>215</v>
      </c>
      <c r="F27" s="90" t="s">
        <v>141</v>
      </c>
      <c r="G27" s="90" t="s">
        <v>15</v>
      </c>
      <c r="H27" s="90" t="s">
        <v>95</v>
      </c>
      <c r="I27" s="90" t="s">
        <v>255</v>
      </c>
      <c r="J27" s="90" t="s">
        <v>234</v>
      </c>
      <c r="K27" s="90" t="s">
        <v>217</v>
      </c>
      <c r="L27" s="90" t="s">
        <v>235</v>
      </c>
      <c r="M27" s="90" t="s">
        <v>252</v>
      </c>
      <c r="N27" s="92">
        <v>155</v>
      </c>
      <c r="O27" s="92" t="s">
        <v>96</v>
      </c>
      <c r="P27" s="91">
        <v>1048</v>
      </c>
      <c r="Q27" s="89">
        <v>12</v>
      </c>
      <c r="R27" s="91">
        <v>500</v>
      </c>
      <c r="S27" s="93">
        <v>159.86217928151621</v>
      </c>
      <c r="T27" s="91" t="s">
        <v>287</v>
      </c>
      <c r="U27" s="93">
        <v>159.86217928151621</v>
      </c>
      <c r="V27" s="91" t="s">
        <v>287</v>
      </c>
      <c r="W27" s="91">
        <v>391.72</v>
      </c>
      <c r="X27" s="92">
        <v>12</v>
      </c>
      <c r="Y27" s="91">
        <v>391.72480000000002</v>
      </c>
    </row>
    <row r="28" spans="2:25" ht="26.25" thickBot="1" x14ac:dyDescent="0.3">
      <c r="B28" s="103" t="str">
        <f t="shared" si="2"/>
        <v>Griddle (Lodging)_Energy Star_&gt;=38% Cooking Efficiency,&lt;= 2650 Btu/hr-sq ft Idle Rate</v>
      </c>
      <c r="C28" s="103" t="str">
        <f t="shared" si="3"/>
        <v>Griddle_Lodging_Existing_Standard_ENERGY STAR</v>
      </c>
      <c r="D28" s="81">
        <v>25</v>
      </c>
      <c r="E28" s="82" t="s">
        <v>215</v>
      </c>
      <c r="F28" s="82" t="s">
        <v>142</v>
      </c>
      <c r="G28" s="82" t="s">
        <v>15</v>
      </c>
      <c r="H28" s="82" t="s">
        <v>95</v>
      </c>
      <c r="I28" s="83" t="s">
        <v>255</v>
      </c>
      <c r="J28" s="83" t="s">
        <v>237</v>
      </c>
      <c r="K28" s="83" t="s">
        <v>217</v>
      </c>
      <c r="L28" s="83" t="s">
        <v>235</v>
      </c>
      <c r="M28" s="83" t="s">
        <v>252</v>
      </c>
      <c r="N28" s="84">
        <v>92</v>
      </c>
      <c r="O28" s="84" t="s">
        <v>96</v>
      </c>
      <c r="P28" s="85">
        <v>1048</v>
      </c>
      <c r="Q28" s="81">
        <v>12</v>
      </c>
      <c r="R28" s="85">
        <v>500</v>
      </c>
      <c r="S28" s="86">
        <v>159.86217928151609</v>
      </c>
      <c r="T28" s="87" t="s">
        <v>287</v>
      </c>
      <c r="U28" s="86">
        <v>159.86217928151609</v>
      </c>
      <c r="V28" s="87" t="s">
        <v>287</v>
      </c>
      <c r="W28" s="87">
        <v>391.72</v>
      </c>
      <c r="X28" s="88">
        <v>12</v>
      </c>
      <c r="Y28" s="87">
        <v>391.72480000000002</v>
      </c>
    </row>
    <row r="29" spans="2:25" ht="26.25" thickBot="1" x14ac:dyDescent="0.3">
      <c r="B29" s="103" t="str">
        <f t="shared" si="2"/>
        <v>Griddle (Restaurant)_Energy Star_&gt;=38% Cooking Efficiency,&lt;= 2650 Btu/hr-sq ft Idle Rate</v>
      </c>
      <c r="C29" s="103" t="str">
        <f t="shared" si="3"/>
        <v>Griddle_Restaurant_Existing_Standard_ENERGY STAR</v>
      </c>
      <c r="D29" s="89">
        <v>26</v>
      </c>
      <c r="E29" s="90" t="s">
        <v>215</v>
      </c>
      <c r="F29" s="90" t="s">
        <v>94</v>
      </c>
      <c r="G29" s="90" t="s">
        <v>15</v>
      </c>
      <c r="H29" s="90" t="s">
        <v>95</v>
      </c>
      <c r="I29" s="90" t="s">
        <v>255</v>
      </c>
      <c r="J29" s="90" t="s">
        <v>238</v>
      </c>
      <c r="K29" s="90" t="s">
        <v>217</v>
      </c>
      <c r="L29" s="90" t="s">
        <v>235</v>
      </c>
      <c r="M29" s="90" t="s">
        <v>252</v>
      </c>
      <c r="N29" s="92">
        <v>273</v>
      </c>
      <c r="O29" s="92" t="s">
        <v>96</v>
      </c>
      <c r="P29" s="91">
        <v>1048</v>
      </c>
      <c r="Q29" s="89">
        <v>12</v>
      </c>
      <c r="R29" s="91">
        <v>500</v>
      </c>
      <c r="S29" s="93">
        <v>159.86217928151615</v>
      </c>
      <c r="T29" s="91" t="s">
        <v>287</v>
      </c>
      <c r="U29" s="93">
        <v>159.86217928151615</v>
      </c>
      <c r="V29" s="91" t="s">
        <v>287</v>
      </c>
      <c r="W29" s="91">
        <v>391.72</v>
      </c>
      <c r="X29" s="92">
        <v>12</v>
      </c>
      <c r="Y29" s="91">
        <v>391.72480000000002</v>
      </c>
    </row>
    <row r="30" spans="2:25" ht="26.25" thickBot="1" x14ac:dyDescent="0.3">
      <c r="B30" s="103" t="str">
        <f t="shared" si="2"/>
        <v>Griddle (School)_Energy Star_&gt;=38% Cooking Efficiency,&lt;= 2650 Btu/hr-sq ft Idle Rate</v>
      </c>
      <c r="C30" s="103" t="str">
        <f t="shared" si="3"/>
        <v>Griddle_Education_Existing_Standard_ENERGY STAR</v>
      </c>
      <c r="D30" s="81">
        <v>27</v>
      </c>
      <c r="E30" s="82" t="s">
        <v>215</v>
      </c>
      <c r="F30" s="82" t="s">
        <v>143</v>
      </c>
      <c r="G30" s="82" t="s">
        <v>15</v>
      </c>
      <c r="H30" s="82" t="s">
        <v>95</v>
      </c>
      <c r="I30" s="83" t="s">
        <v>255</v>
      </c>
      <c r="J30" s="83" t="s">
        <v>239</v>
      </c>
      <c r="K30" s="83" t="s">
        <v>217</v>
      </c>
      <c r="L30" s="83" t="s">
        <v>235</v>
      </c>
      <c r="M30" s="83" t="s">
        <v>252</v>
      </c>
      <c r="N30" s="84">
        <v>59</v>
      </c>
      <c r="O30" s="84" t="s">
        <v>96</v>
      </c>
      <c r="P30" s="85">
        <v>1048</v>
      </c>
      <c r="Q30" s="81">
        <v>12</v>
      </c>
      <c r="R30" s="85">
        <v>500</v>
      </c>
      <c r="S30" s="86">
        <v>159.86217928151612</v>
      </c>
      <c r="T30" s="87" t="s">
        <v>287</v>
      </c>
      <c r="U30" s="86">
        <v>159.86217928151612</v>
      </c>
      <c r="V30" s="87" t="s">
        <v>287</v>
      </c>
      <c r="W30" s="87">
        <v>391.72</v>
      </c>
      <c r="X30" s="88">
        <v>12</v>
      </c>
      <c r="Y30" s="87">
        <v>391.72480000000002</v>
      </c>
    </row>
    <row r="31" spans="2:25" ht="26.25" thickBot="1" x14ac:dyDescent="0.3">
      <c r="B31" s="103" t="str">
        <f t="shared" si="2"/>
        <v>HVAC Unit Heater - Condensing_High Efficiency Condensing_Minimum 92% AFUE</v>
      </c>
      <c r="C31" s="103" t="str">
        <f t="shared" si="3"/>
        <v>Unit Heater_Existing_Standard_Infrared Radiant</v>
      </c>
      <c r="D31" s="89">
        <v>28</v>
      </c>
      <c r="E31" s="90" t="s">
        <v>215</v>
      </c>
      <c r="F31" s="90" t="s">
        <v>144</v>
      </c>
      <c r="G31" s="90" t="s">
        <v>155</v>
      </c>
      <c r="H31" s="90" t="s">
        <v>19</v>
      </c>
      <c r="I31" s="90" t="s">
        <v>256</v>
      </c>
      <c r="J31" s="90" t="s">
        <v>216</v>
      </c>
      <c r="K31" s="90" t="s">
        <v>217</v>
      </c>
      <c r="L31" s="90" t="s">
        <v>235</v>
      </c>
      <c r="M31" s="90" t="s">
        <v>257</v>
      </c>
      <c r="N31" s="92">
        <v>1.1000000000000001</v>
      </c>
      <c r="O31" s="92" t="s">
        <v>102</v>
      </c>
      <c r="P31" s="91">
        <v>5.23</v>
      </c>
      <c r="Q31" s="89">
        <v>18</v>
      </c>
      <c r="R31" s="91">
        <v>5</v>
      </c>
      <c r="S31" s="93">
        <v>110.83</v>
      </c>
      <c r="T31" s="91" t="s">
        <v>290</v>
      </c>
      <c r="U31" s="93">
        <v>0.88663999999999998</v>
      </c>
      <c r="V31" s="91" t="s">
        <v>301</v>
      </c>
      <c r="W31" s="91">
        <v>16.739519999999999</v>
      </c>
      <c r="X31" s="92">
        <v>15</v>
      </c>
      <c r="Y31" s="91">
        <v>1.6261126258630161</v>
      </c>
    </row>
    <row r="32" spans="2:25" ht="26.25" thickBot="1" x14ac:dyDescent="0.3">
      <c r="B32" s="103" t="str">
        <f t="shared" si="2"/>
        <v>HVAC Unit Heater - Non-Condensing_High-Efficiency-Non-Condensing Unit Heater with Electronic Ignition_Minimum 86% AFUE</v>
      </c>
      <c r="C32" s="103" t="str">
        <f t="shared" si="3"/>
        <v>Unit Heater_Existing_Standard_Condensing</v>
      </c>
      <c r="D32" s="81">
        <v>29</v>
      </c>
      <c r="E32" s="82" t="s">
        <v>215</v>
      </c>
      <c r="F32" s="82" t="s">
        <v>145</v>
      </c>
      <c r="G32" s="82" t="s">
        <v>156</v>
      </c>
      <c r="H32" s="82" t="s">
        <v>18</v>
      </c>
      <c r="I32" s="83" t="s">
        <v>256</v>
      </c>
      <c r="J32" s="83" t="s">
        <v>216</v>
      </c>
      <c r="K32" s="83" t="s">
        <v>217</v>
      </c>
      <c r="L32" s="83" t="s">
        <v>235</v>
      </c>
      <c r="M32" s="83" t="s">
        <v>331</v>
      </c>
      <c r="N32" s="84">
        <v>0.61</v>
      </c>
      <c r="O32" s="84" t="s">
        <v>102</v>
      </c>
      <c r="P32" s="85">
        <v>3.26</v>
      </c>
      <c r="Q32" s="81">
        <v>18</v>
      </c>
      <c r="R32" s="85">
        <v>1.5</v>
      </c>
      <c r="S32" s="86" t="s">
        <v>250</v>
      </c>
      <c r="T32" s="87" t="s">
        <v>250</v>
      </c>
      <c r="U32" s="86" t="s">
        <v>250</v>
      </c>
      <c r="V32" s="87" t="s">
        <v>250</v>
      </c>
      <c r="W32" s="87" t="s">
        <v>250</v>
      </c>
      <c r="X32" s="88" t="s">
        <v>250</v>
      </c>
      <c r="Y32" s="87" t="s">
        <v>250</v>
      </c>
    </row>
    <row r="33" spans="2:25" ht="26.25" thickBot="1" x14ac:dyDescent="0.3">
      <c r="B33" s="103" t="str">
        <f t="shared" si="2"/>
        <v>Insulation - Attic - Tier 1 - Min R-30_Attic Insulation_Tier 1 /  Minimum R-30</v>
      </c>
      <c r="C33" s="103" t="str">
        <f t="shared" si="3"/>
        <v>Insulation - Roof/Ceiling_Existing_R-13_R-49</v>
      </c>
      <c r="D33" s="89">
        <v>30</v>
      </c>
      <c r="E33" s="90" t="s">
        <v>215</v>
      </c>
      <c r="F33" s="90" t="s">
        <v>116</v>
      </c>
      <c r="G33" s="90" t="s">
        <v>58</v>
      </c>
      <c r="H33" s="90" t="s">
        <v>117</v>
      </c>
      <c r="I33" s="90" t="s">
        <v>258</v>
      </c>
      <c r="J33" s="90" t="s">
        <v>216</v>
      </c>
      <c r="K33" s="90" t="s">
        <v>217</v>
      </c>
      <c r="L33" s="90" t="s">
        <v>259</v>
      </c>
      <c r="M33" s="90" t="s">
        <v>260</v>
      </c>
      <c r="N33" s="92">
        <v>0.31</v>
      </c>
      <c r="O33" s="92" t="s">
        <v>118</v>
      </c>
      <c r="P33" s="91">
        <v>1.35</v>
      </c>
      <c r="Q33" s="89">
        <v>30</v>
      </c>
      <c r="R33" s="91">
        <v>2</v>
      </c>
      <c r="S33" s="93">
        <v>9.3564934067564984E-2</v>
      </c>
      <c r="T33" s="91" t="s">
        <v>291</v>
      </c>
      <c r="U33" s="93">
        <v>5.7284653510754076E-2</v>
      </c>
      <c r="V33" s="91" t="s">
        <v>291</v>
      </c>
      <c r="W33" s="91">
        <v>0.67959183673469392</v>
      </c>
      <c r="X33" s="92">
        <v>45</v>
      </c>
      <c r="Y33" s="91">
        <v>0.55181691777660391</v>
      </c>
    </row>
    <row r="34" spans="2:25" ht="26.25" thickBot="1" x14ac:dyDescent="0.3">
      <c r="B34" s="103" t="str">
        <f t="shared" si="2"/>
        <v>Insulation - Attic - Tier 2 - Min R-45_Attic Insulation_Tier 2 /  Minimum R-45</v>
      </c>
      <c r="C34" s="103" t="str">
        <f t="shared" si="3"/>
        <v>Insulation - Roof/Ceiling_Existing_R-13_R-49</v>
      </c>
      <c r="D34" s="81">
        <v>31</v>
      </c>
      <c r="E34" s="82" t="s">
        <v>215</v>
      </c>
      <c r="F34" s="82" t="s">
        <v>130</v>
      </c>
      <c r="G34" s="82" t="s">
        <v>58</v>
      </c>
      <c r="H34" s="82" t="s">
        <v>131</v>
      </c>
      <c r="I34" s="83" t="s">
        <v>258</v>
      </c>
      <c r="J34" s="83" t="s">
        <v>216</v>
      </c>
      <c r="K34" s="83" t="s">
        <v>217</v>
      </c>
      <c r="L34" s="83" t="s">
        <v>259</v>
      </c>
      <c r="M34" s="83" t="s">
        <v>260</v>
      </c>
      <c r="N34" s="84">
        <v>0.32</v>
      </c>
      <c r="O34" s="84" t="s">
        <v>118</v>
      </c>
      <c r="P34" s="85">
        <v>1.63</v>
      </c>
      <c r="Q34" s="81">
        <v>30</v>
      </c>
      <c r="R34" s="85">
        <v>2.5</v>
      </c>
      <c r="S34" s="86">
        <v>9.3564934067564984E-2</v>
      </c>
      <c r="T34" s="87" t="s">
        <v>291</v>
      </c>
      <c r="U34" s="86">
        <v>8.5926980266131103E-2</v>
      </c>
      <c r="V34" s="87" t="s">
        <v>291</v>
      </c>
      <c r="W34" s="87">
        <v>1.0193877551020409</v>
      </c>
      <c r="X34" s="88">
        <v>45</v>
      </c>
      <c r="Y34" s="87">
        <v>0.82772537666490575</v>
      </c>
    </row>
    <row r="35" spans="2:25" ht="26.25" thickBot="1" x14ac:dyDescent="0.3">
      <c r="B35" s="103" t="str">
        <f t="shared" si="2"/>
        <v>Insulation - Floor_Floor Insulation_Equal to or greater than R-30 Post and equal to or less than R-11 Pre</v>
      </c>
      <c r="C35" s="103" t="str">
        <f t="shared" si="3"/>
        <v>N/A_N/A_N/A_N/A_N/A</v>
      </c>
      <c r="D35" s="89">
        <v>32</v>
      </c>
      <c r="E35" s="90" t="s">
        <v>215</v>
      </c>
      <c r="F35" s="90" t="s">
        <v>171</v>
      </c>
      <c r="G35" s="90" t="s">
        <v>157</v>
      </c>
      <c r="H35" s="90" t="s">
        <v>158</v>
      </c>
      <c r="I35" s="90" t="s">
        <v>250</v>
      </c>
      <c r="J35" s="90" t="s">
        <v>250</v>
      </c>
      <c r="K35" s="90" t="s">
        <v>250</v>
      </c>
      <c r="L35" s="90" t="s">
        <v>250</v>
      </c>
      <c r="M35" s="90" t="s">
        <v>250</v>
      </c>
      <c r="N35" s="92">
        <v>5.6000000000000001E-2</v>
      </c>
      <c r="O35" s="92" t="s">
        <v>127</v>
      </c>
      <c r="P35" s="91">
        <v>1.08</v>
      </c>
      <c r="Q35" s="89">
        <v>45</v>
      </c>
      <c r="R35" s="91">
        <v>0.75</v>
      </c>
      <c r="S35" s="93" t="s">
        <v>250</v>
      </c>
      <c r="T35" s="91" t="s">
        <v>250</v>
      </c>
      <c r="U35" s="93" t="s">
        <v>250</v>
      </c>
      <c r="V35" s="91" t="s">
        <v>250</v>
      </c>
      <c r="W35" s="91" t="s">
        <v>250</v>
      </c>
      <c r="X35" s="92" t="s">
        <v>250</v>
      </c>
      <c r="Y35" s="91" t="s">
        <v>250</v>
      </c>
    </row>
    <row r="36" spans="2:25" ht="26.25" thickBot="1" x14ac:dyDescent="0.3">
      <c r="B36" s="103" t="str">
        <f t="shared" si="2"/>
        <v>Insulation - Pipe - 1.5"_1.5" Thick Pipe Insulation _Retrofit for T&gt;140F&lt;=200F</v>
      </c>
      <c r="C36" s="103" t="str">
        <f t="shared" si="3"/>
        <v>Gas Boiler - Insulate Hot Water Lines_Existing_No insulation_Insulated water lines</v>
      </c>
      <c r="D36" s="81">
        <v>33</v>
      </c>
      <c r="E36" s="82" t="s">
        <v>215</v>
      </c>
      <c r="F36" s="82" t="s">
        <v>146</v>
      </c>
      <c r="G36" s="82" t="s">
        <v>159</v>
      </c>
      <c r="H36" s="82" t="s">
        <v>160</v>
      </c>
      <c r="I36" s="83" t="s">
        <v>261</v>
      </c>
      <c r="J36" s="83" t="s">
        <v>216</v>
      </c>
      <c r="K36" s="83" t="s">
        <v>217</v>
      </c>
      <c r="L36" s="83" t="s">
        <v>262</v>
      </c>
      <c r="M36" s="83" t="s">
        <v>263</v>
      </c>
      <c r="N36" s="84">
        <v>6</v>
      </c>
      <c r="O36" s="84" t="s">
        <v>167</v>
      </c>
      <c r="P36" s="85">
        <v>8</v>
      </c>
      <c r="Q36" s="81">
        <v>20</v>
      </c>
      <c r="R36" s="85">
        <v>15</v>
      </c>
      <c r="S36" s="86">
        <v>4.6017923491566473</v>
      </c>
      <c r="T36" s="87" t="s">
        <v>292</v>
      </c>
      <c r="U36" s="86">
        <v>4.6017923491566473</v>
      </c>
      <c r="V36" s="87" t="s">
        <v>292</v>
      </c>
      <c r="W36" s="87">
        <v>10.78</v>
      </c>
      <c r="X36" s="88">
        <v>20</v>
      </c>
      <c r="Y36" s="87">
        <v>15.275031516363031</v>
      </c>
    </row>
    <row r="37" spans="2:25" ht="26.25" thickBot="1" x14ac:dyDescent="0.3">
      <c r="B37" s="103" t="str">
        <f t="shared" si="2"/>
        <v>Insulation - Pipe - 2.5"_2.5" Thick Pipe Insulation_Retrofit for T&gt;200F</v>
      </c>
      <c r="C37" s="103" t="str">
        <f t="shared" si="3"/>
        <v>Gas Boiler - Insulate Hot Water Lines_Existing_No insulation_Insulated water lines</v>
      </c>
      <c r="D37" s="89">
        <v>34</v>
      </c>
      <c r="E37" s="90" t="s">
        <v>215</v>
      </c>
      <c r="F37" s="90" t="s">
        <v>147</v>
      </c>
      <c r="G37" s="90" t="s">
        <v>161</v>
      </c>
      <c r="H37" s="90" t="s">
        <v>162</v>
      </c>
      <c r="I37" s="90" t="s">
        <v>261</v>
      </c>
      <c r="J37" s="90" t="s">
        <v>216</v>
      </c>
      <c r="K37" s="90" t="s">
        <v>217</v>
      </c>
      <c r="L37" s="90" t="s">
        <v>262</v>
      </c>
      <c r="M37" s="90" t="s">
        <v>263</v>
      </c>
      <c r="N37" s="92">
        <v>12</v>
      </c>
      <c r="O37" s="92" t="s">
        <v>167</v>
      </c>
      <c r="P37" s="91">
        <v>18</v>
      </c>
      <c r="Q37" s="89">
        <v>20</v>
      </c>
      <c r="R37" s="91">
        <v>25</v>
      </c>
      <c r="S37" s="93">
        <v>346.13835024552628</v>
      </c>
      <c r="T37" s="91" t="s">
        <v>293</v>
      </c>
      <c r="U37" s="93">
        <v>346.13835024552628</v>
      </c>
      <c r="V37" s="91" t="s">
        <v>293</v>
      </c>
      <c r="W37" s="91">
        <v>2951.244444444445</v>
      </c>
      <c r="X37" s="92">
        <v>20</v>
      </c>
      <c r="Y37" s="91">
        <v>1475.6218611111112</v>
      </c>
    </row>
    <row r="38" spans="2:25" ht="26.25" thickBot="1" x14ac:dyDescent="0.3">
      <c r="B38" s="103" t="str">
        <f t="shared" si="2"/>
        <v>Insulation - Roof - Tier 1 - Min R-21_Roof Insulation_Tier 1 /  Minimum R-21</v>
      </c>
      <c r="C38" s="103" t="str">
        <f t="shared" si="3"/>
        <v>Insulation - Roof/Ceiling_Existing_R-13_R-49</v>
      </c>
      <c r="D38" s="81">
        <v>35</v>
      </c>
      <c r="E38" s="82" t="s">
        <v>215</v>
      </c>
      <c r="F38" s="82" t="s">
        <v>128</v>
      </c>
      <c r="G38" s="82" t="s">
        <v>123</v>
      </c>
      <c r="H38" s="82" t="s">
        <v>129</v>
      </c>
      <c r="I38" s="83" t="s">
        <v>258</v>
      </c>
      <c r="J38" s="83" t="s">
        <v>216</v>
      </c>
      <c r="K38" s="83" t="s">
        <v>217</v>
      </c>
      <c r="L38" s="83" t="s">
        <v>259</v>
      </c>
      <c r="M38" s="83" t="s">
        <v>260</v>
      </c>
      <c r="N38" s="84">
        <v>0.35</v>
      </c>
      <c r="O38" s="84" t="s">
        <v>118</v>
      </c>
      <c r="P38" s="85">
        <v>1.83</v>
      </c>
      <c r="Q38" s="81">
        <v>30</v>
      </c>
      <c r="R38" s="85">
        <v>2</v>
      </c>
      <c r="S38" s="86">
        <v>9.3564934067564984E-2</v>
      </c>
      <c r="T38" s="87" t="s">
        <v>291</v>
      </c>
      <c r="U38" s="86">
        <v>4.0099257457527848E-2</v>
      </c>
      <c r="V38" s="87" t="s">
        <v>291</v>
      </c>
      <c r="W38" s="87">
        <v>0.47571428571428576</v>
      </c>
      <c r="X38" s="88">
        <v>45</v>
      </c>
      <c r="Y38" s="87">
        <v>0.38627184244362267</v>
      </c>
    </row>
    <row r="39" spans="2:25" ht="26.25" thickBot="1" x14ac:dyDescent="0.3">
      <c r="B39" s="103" t="str">
        <f t="shared" si="2"/>
        <v>Insulation - Roof - Tier 2 - Min R-30_Roof Insulation_Tier 2 /  Minimum R-30</v>
      </c>
      <c r="C39" s="103" t="str">
        <f t="shared" si="3"/>
        <v>Insulation - Roof/Ceiling_Existing_R-13_R-49</v>
      </c>
      <c r="D39" s="89">
        <v>36</v>
      </c>
      <c r="E39" s="90" t="s">
        <v>215</v>
      </c>
      <c r="F39" s="90" t="s">
        <v>122</v>
      </c>
      <c r="G39" s="90" t="s">
        <v>123</v>
      </c>
      <c r="H39" s="90" t="s">
        <v>124</v>
      </c>
      <c r="I39" s="90" t="s">
        <v>258</v>
      </c>
      <c r="J39" s="90" t="s">
        <v>216</v>
      </c>
      <c r="K39" s="90" t="s">
        <v>217</v>
      </c>
      <c r="L39" s="90" t="s">
        <v>259</v>
      </c>
      <c r="M39" s="90" t="s">
        <v>260</v>
      </c>
      <c r="N39" s="92">
        <v>0.36</v>
      </c>
      <c r="O39" s="92" t="s">
        <v>118</v>
      </c>
      <c r="P39" s="91">
        <v>2.15</v>
      </c>
      <c r="Q39" s="89">
        <v>30</v>
      </c>
      <c r="R39" s="91">
        <v>2.5</v>
      </c>
      <c r="S39" s="93">
        <v>9.3564934067564984E-2</v>
      </c>
      <c r="T39" s="91" t="s">
        <v>291</v>
      </c>
      <c r="U39" s="93">
        <v>5.7284653510754076E-2</v>
      </c>
      <c r="V39" s="91" t="s">
        <v>291</v>
      </c>
      <c r="W39" s="91">
        <v>0.67959183673469392</v>
      </c>
      <c r="X39" s="92">
        <v>45</v>
      </c>
      <c r="Y39" s="91">
        <v>0.55181691777660391</v>
      </c>
    </row>
    <row r="40" spans="2:25" ht="26.25" thickBot="1" x14ac:dyDescent="0.3">
      <c r="B40" s="103" t="str">
        <f t="shared" si="2"/>
        <v>Insulation - Wall - Tier 1 - Min R-11_Wall Insulation_Tier 1 / Minimum R-11</v>
      </c>
      <c r="C40" s="103" t="str">
        <f t="shared" si="3"/>
        <v>Insulation - Wall Cavity_Existing_R-11 or less_R-21</v>
      </c>
      <c r="D40" s="81">
        <v>37</v>
      </c>
      <c r="E40" s="82" t="s">
        <v>215</v>
      </c>
      <c r="F40" s="82" t="s">
        <v>119</v>
      </c>
      <c r="G40" s="82" t="s">
        <v>120</v>
      </c>
      <c r="H40" s="82" t="s">
        <v>121</v>
      </c>
      <c r="I40" s="83" t="s">
        <v>264</v>
      </c>
      <c r="J40" s="83" t="s">
        <v>216</v>
      </c>
      <c r="K40" s="83" t="s">
        <v>217</v>
      </c>
      <c r="L40" s="83" t="s">
        <v>265</v>
      </c>
      <c r="M40" s="83" t="s">
        <v>266</v>
      </c>
      <c r="N40" s="84">
        <v>0.16</v>
      </c>
      <c r="O40" s="84" t="s">
        <v>118</v>
      </c>
      <c r="P40" s="85">
        <v>1.5</v>
      </c>
      <c r="Q40" s="81">
        <v>30</v>
      </c>
      <c r="R40" s="85">
        <v>1.25</v>
      </c>
      <c r="S40" s="86">
        <v>0.10924982345261894</v>
      </c>
      <c r="T40" s="87" t="s">
        <v>294</v>
      </c>
      <c r="U40" s="86">
        <v>5.7226097998990873E-2</v>
      </c>
      <c r="V40" s="87" t="s">
        <v>294</v>
      </c>
      <c r="W40" s="87">
        <v>0.91142857142857148</v>
      </c>
      <c r="X40" s="88">
        <v>45</v>
      </c>
      <c r="Y40" s="87">
        <v>0.47209253813884161</v>
      </c>
    </row>
    <row r="41" spans="2:25" ht="26.25" thickBot="1" x14ac:dyDescent="0.3">
      <c r="B41" s="103" t="str">
        <f t="shared" si="2"/>
        <v>Insulation - Wall - Tier 2 - Min R-19_Wall Insulation_Tier 2 /  Minimum R-19</v>
      </c>
      <c r="C41" s="103" t="str">
        <f t="shared" si="3"/>
        <v>Insulation - Wall Cavity_Existing_R-11 or less_R-21</v>
      </c>
      <c r="D41" s="89">
        <v>38</v>
      </c>
      <c r="E41" s="90" t="s">
        <v>215</v>
      </c>
      <c r="F41" s="90" t="s">
        <v>125</v>
      </c>
      <c r="G41" s="90" t="s">
        <v>120</v>
      </c>
      <c r="H41" s="90" t="s">
        <v>126</v>
      </c>
      <c r="I41" s="90" t="s">
        <v>264</v>
      </c>
      <c r="J41" s="90" t="s">
        <v>216</v>
      </c>
      <c r="K41" s="90" t="s">
        <v>217</v>
      </c>
      <c r="L41" s="90" t="s">
        <v>265</v>
      </c>
      <c r="M41" s="90" t="s">
        <v>266</v>
      </c>
      <c r="N41" s="92">
        <v>0.19</v>
      </c>
      <c r="O41" s="92" t="s">
        <v>127</v>
      </c>
      <c r="P41" s="91">
        <v>1.7</v>
      </c>
      <c r="Q41" s="89">
        <v>30</v>
      </c>
      <c r="R41" s="91">
        <v>1.5</v>
      </c>
      <c r="S41" s="93">
        <v>0.10924982345261894</v>
      </c>
      <c r="T41" s="91" t="s">
        <v>294</v>
      </c>
      <c r="U41" s="93">
        <v>9.8845078361893324E-2</v>
      </c>
      <c r="V41" s="91" t="s">
        <v>294</v>
      </c>
      <c r="W41" s="91">
        <v>1.5742857142857143</v>
      </c>
      <c r="X41" s="92">
        <v>45</v>
      </c>
      <c r="Y41" s="91">
        <v>0.81543256587618085</v>
      </c>
    </row>
    <row r="42" spans="2:25" ht="26.25" thickBot="1" x14ac:dyDescent="0.3">
      <c r="B42" s="103" t="str">
        <f t="shared" si="2"/>
        <v>Low Temp Door Dishwasher_Energy Star_&lt;=.6kW Idle Rate, &lt;= 1.18 gal/rack</v>
      </c>
      <c r="C42" s="103" t="str">
        <f t="shared" si="3"/>
        <v>Water Heater - Efficient Dishwasher_Existing_Standard unit_ESTAR unit</v>
      </c>
      <c r="D42" s="81">
        <v>39</v>
      </c>
      <c r="E42" s="82" t="s">
        <v>215</v>
      </c>
      <c r="F42" s="82" t="s">
        <v>87</v>
      </c>
      <c r="G42" s="82" t="s">
        <v>15</v>
      </c>
      <c r="H42" s="82" t="s">
        <v>88</v>
      </c>
      <c r="I42" s="83" t="s">
        <v>267</v>
      </c>
      <c r="J42" s="83" t="s">
        <v>216</v>
      </c>
      <c r="K42" s="83" t="s">
        <v>217</v>
      </c>
      <c r="L42" s="83" t="s">
        <v>268</v>
      </c>
      <c r="M42" s="83" t="s">
        <v>269</v>
      </c>
      <c r="N42" s="84">
        <v>448</v>
      </c>
      <c r="O42" s="84" t="s">
        <v>47</v>
      </c>
      <c r="P42" s="85">
        <v>1800</v>
      </c>
      <c r="Q42" s="81">
        <v>12</v>
      </c>
      <c r="R42" s="85">
        <v>800</v>
      </c>
      <c r="S42" s="86">
        <v>244.77777777777777</v>
      </c>
      <c r="T42" s="87" t="s">
        <v>289</v>
      </c>
      <c r="U42" s="86">
        <v>244.77777777777777</v>
      </c>
      <c r="V42" s="87" t="s">
        <v>289</v>
      </c>
      <c r="W42" s="87">
        <v>453.67333333333335</v>
      </c>
      <c r="X42" s="88">
        <v>12.222222222222221</v>
      </c>
      <c r="Y42" s="87">
        <v>453.67439999999999</v>
      </c>
    </row>
    <row r="43" spans="2:25" ht="26.25" thickBot="1" x14ac:dyDescent="0.3">
      <c r="B43" s="103" t="str">
        <f t="shared" si="2"/>
        <v>Low Temp Multi Tank Dishwasher_Energy Star_&lt;=2kW Idle Rate, &lt;=.50 gal/rack</v>
      </c>
      <c r="C43" s="103" t="str">
        <f t="shared" si="3"/>
        <v>Water Heater - Efficient Dishwasher_Existing_Standard unit_ESTAR unit</v>
      </c>
      <c r="D43" s="89">
        <v>40</v>
      </c>
      <c r="E43" s="90" t="s">
        <v>215</v>
      </c>
      <c r="F43" s="90" t="s">
        <v>148</v>
      </c>
      <c r="G43" s="90" t="s">
        <v>15</v>
      </c>
      <c r="H43" s="90" t="s">
        <v>163</v>
      </c>
      <c r="I43" s="90" t="s">
        <v>267</v>
      </c>
      <c r="J43" s="90" t="s">
        <v>216</v>
      </c>
      <c r="K43" s="90" t="s">
        <v>217</v>
      </c>
      <c r="L43" s="90" t="s">
        <v>268</v>
      </c>
      <c r="M43" s="90" t="s">
        <v>269</v>
      </c>
      <c r="N43" s="92">
        <v>645</v>
      </c>
      <c r="O43" s="92" t="s">
        <v>47</v>
      </c>
      <c r="P43" s="91">
        <v>4000</v>
      </c>
      <c r="Q43" s="89">
        <v>20</v>
      </c>
      <c r="R43" s="91">
        <v>2500</v>
      </c>
      <c r="S43" s="93">
        <v>244.77777777777777</v>
      </c>
      <c r="T43" s="91" t="s">
        <v>289</v>
      </c>
      <c r="U43" s="93">
        <v>244.77777777777777</v>
      </c>
      <c r="V43" s="91" t="s">
        <v>289</v>
      </c>
      <c r="W43" s="91">
        <v>453.67333333333335</v>
      </c>
      <c r="X43" s="92">
        <v>12.222222222222221</v>
      </c>
      <c r="Y43" s="91">
        <v>453.67439999999999</v>
      </c>
    </row>
    <row r="44" spans="2:25" ht="26.25" thickBot="1" x14ac:dyDescent="0.3">
      <c r="B44" s="103" t="str">
        <f t="shared" si="2"/>
        <v>Motion Faucet Controls_Motion Controlled Faucet_&lt;= 1.8 gpm, Watersense Certified</v>
      </c>
      <c r="C44" s="103" t="str">
        <f t="shared" si="3"/>
        <v>Water Heater - Motion Control Faucet_Existing_Standard faucet_Motion activated faucet</v>
      </c>
      <c r="D44" s="81">
        <v>41</v>
      </c>
      <c r="E44" s="82" t="s">
        <v>215</v>
      </c>
      <c r="F44" s="82" t="s">
        <v>76</v>
      </c>
      <c r="G44" s="82" t="s">
        <v>77</v>
      </c>
      <c r="H44" s="82" t="s">
        <v>55</v>
      </c>
      <c r="I44" s="83" t="s">
        <v>270</v>
      </c>
      <c r="J44" s="83" t="s">
        <v>216</v>
      </c>
      <c r="K44" s="83" t="s">
        <v>217</v>
      </c>
      <c r="L44" s="83" t="s">
        <v>271</v>
      </c>
      <c r="M44" s="83" t="s">
        <v>272</v>
      </c>
      <c r="N44" s="84">
        <v>136</v>
      </c>
      <c r="O44" s="84" t="s">
        <v>78</v>
      </c>
      <c r="P44" s="85">
        <v>315</v>
      </c>
      <c r="Q44" s="81">
        <v>5</v>
      </c>
      <c r="R44" s="85">
        <v>105</v>
      </c>
      <c r="S44" s="86">
        <v>0</v>
      </c>
      <c r="T44" s="87" t="s">
        <v>289</v>
      </c>
      <c r="U44" s="86">
        <v>0</v>
      </c>
      <c r="V44" s="87" t="s">
        <v>289</v>
      </c>
      <c r="W44" s="87">
        <v>0</v>
      </c>
      <c r="X44" s="88">
        <v>5</v>
      </c>
      <c r="Y44" s="87">
        <v>0</v>
      </c>
    </row>
    <row r="45" spans="2:25" ht="26.25" thickBot="1" x14ac:dyDescent="0.3">
      <c r="B45" s="103" t="str">
        <f t="shared" si="2"/>
        <v>Ozone Injection Laundry_Venturi Injection or Bubble Diffusion Ozone Injection Laundry_Minimum 125 lb Total Washer/Extractor Capacity  and Pre Approved by CNG</v>
      </c>
      <c r="C45" s="103" t="str">
        <f t="shared" si="3"/>
        <v>Water Heater - Ozone Laundry_Existing_Standard laundry machine_Ozone laundry system</v>
      </c>
      <c r="D45" s="89">
        <v>42</v>
      </c>
      <c r="E45" s="90" t="s">
        <v>215</v>
      </c>
      <c r="F45" s="90" t="s">
        <v>149</v>
      </c>
      <c r="G45" s="90" t="s">
        <v>164</v>
      </c>
      <c r="H45" s="90" t="s">
        <v>165</v>
      </c>
      <c r="I45" s="90" t="s">
        <v>273</v>
      </c>
      <c r="J45" s="90" t="s">
        <v>216</v>
      </c>
      <c r="K45" s="90" t="s">
        <v>217</v>
      </c>
      <c r="L45" s="90" t="s">
        <v>231</v>
      </c>
      <c r="M45" s="90" t="s">
        <v>274</v>
      </c>
      <c r="N45" s="92">
        <v>1049</v>
      </c>
      <c r="O45" s="92" t="s">
        <v>168</v>
      </c>
      <c r="P45" s="91">
        <v>8283</v>
      </c>
      <c r="Q45" s="89">
        <v>10</v>
      </c>
      <c r="R45" s="91">
        <v>2500</v>
      </c>
      <c r="S45" s="93">
        <v>2627.6738128332263</v>
      </c>
      <c r="T45" s="91" t="s">
        <v>295</v>
      </c>
      <c r="U45" s="93">
        <v>2627.6738128332263</v>
      </c>
      <c r="V45" s="91" t="s">
        <v>295</v>
      </c>
      <c r="W45" s="91">
        <v>14325.891111111114</v>
      </c>
      <c r="X45" s="92">
        <v>10</v>
      </c>
      <c r="Y45" s="91">
        <v>8395.0617271038645</v>
      </c>
    </row>
    <row r="46" spans="2:25" ht="15.75" thickBot="1" x14ac:dyDescent="0.3">
      <c r="B46" s="103" t="str">
        <f t="shared" si="2"/>
        <v>Radiant Heating_Direct-fired Radiant Heating_None</v>
      </c>
      <c r="C46" s="103" t="str">
        <f t="shared" si="3"/>
        <v>N/A_N/A_N/A_N/A_N/A</v>
      </c>
      <c r="D46" s="81">
        <v>43</v>
      </c>
      <c r="E46" s="82" t="s">
        <v>215</v>
      </c>
      <c r="F46" s="82" t="s">
        <v>10</v>
      </c>
      <c r="G46" s="82" t="s">
        <v>110</v>
      </c>
      <c r="H46" s="82" t="s">
        <v>20</v>
      </c>
      <c r="I46" s="83" t="s">
        <v>250</v>
      </c>
      <c r="J46" s="83" t="s">
        <v>250</v>
      </c>
      <c r="K46" s="83" t="s">
        <v>250</v>
      </c>
      <c r="L46" s="83" t="s">
        <v>250</v>
      </c>
      <c r="M46" s="83" t="s">
        <v>250</v>
      </c>
      <c r="N46" s="84">
        <v>4.33</v>
      </c>
      <c r="O46" s="84" t="s">
        <v>102</v>
      </c>
      <c r="P46" s="85">
        <v>21</v>
      </c>
      <c r="Q46" s="81">
        <v>18</v>
      </c>
      <c r="R46" s="85">
        <v>15</v>
      </c>
      <c r="S46" s="86">
        <v>332.47254741981698</v>
      </c>
      <c r="T46" s="87" t="s">
        <v>290</v>
      </c>
      <c r="U46" s="86">
        <v>2.6597803793585357</v>
      </c>
      <c r="V46" s="87" t="s">
        <v>439</v>
      </c>
      <c r="W46" s="87">
        <v>5.54389193144468</v>
      </c>
      <c r="X46" s="88">
        <v>15</v>
      </c>
      <c r="Y46" s="87">
        <v>1.6261126258630161</v>
      </c>
    </row>
    <row r="47" spans="2:25" ht="26.25" thickBot="1" x14ac:dyDescent="0.3">
      <c r="B47" s="103" t="str">
        <f t="shared" si="2"/>
        <v>Steamer - 3 Pan_Connectionless Estar or CEE Qualified_&gt;=38% Cooking Efficiency,&lt;= 2083  Btu/hr /pan Idle Rate</v>
      </c>
      <c r="C47" s="103" t="str">
        <f t="shared" si="3"/>
        <v>Steamer_Existing_Standard_ENERGY STAR</v>
      </c>
      <c r="D47" s="89">
        <v>44</v>
      </c>
      <c r="E47" s="90" t="s">
        <v>215</v>
      </c>
      <c r="F47" s="90" t="s">
        <v>100</v>
      </c>
      <c r="G47" s="90" t="s">
        <v>92</v>
      </c>
      <c r="H47" s="90" t="s">
        <v>93</v>
      </c>
      <c r="I47" s="90" t="s">
        <v>275</v>
      </c>
      <c r="J47" s="90" t="s">
        <v>216</v>
      </c>
      <c r="K47" s="90" t="s">
        <v>217</v>
      </c>
      <c r="L47" s="90" t="s">
        <v>235</v>
      </c>
      <c r="M47" s="90" t="s">
        <v>252</v>
      </c>
      <c r="N47" s="92">
        <v>535</v>
      </c>
      <c r="O47" s="92" t="s">
        <v>47</v>
      </c>
      <c r="P47" s="91">
        <v>2600</v>
      </c>
      <c r="Q47" s="89">
        <v>12</v>
      </c>
      <c r="R47" s="91">
        <v>850</v>
      </c>
      <c r="S47" s="93">
        <v>1022.5078302717453</v>
      </c>
      <c r="T47" s="91" t="s">
        <v>287</v>
      </c>
      <c r="U47" s="93">
        <v>1022.5078302717453</v>
      </c>
      <c r="V47" s="91" t="s">
        <v>287</v>
      </c>
      <c r="W47" s="91">
        <v>1107.3099999999997</v>
      </c>
      <c r="X47" s="92">
        <v>12</v>
      </c>
      <c r="Y47" s="91">
        <v>943.10029559118243</v>
      </c>
    </row>
    <row r="48" spans="2:25" ht="26.25" thickBot="1" x14ac:dyDescent="0.3">
      <c r="B48" s="103" t="str">
        <f t="shared" si="2"/>
        <v>Steamer - 6 Pan_Connectionless Estar or CEE Qualified_&gt;=38% Cooking Efficiency,&lt;= 2083  Btu/hr /pan Idle Rate</v>
      </c>
      <c r="C48" s="103" t="str">
        <f t="shared" si="3"/>
        <v>Steamer_Existing_Standard_ENERGY STAR</v>
      </c>
      <c r="D48" s="81">
        <v>45</v>
      </c>
      <c r="E48" s="82" t="s">
        <v>215</v>
      </c>
      <c r="F48" s="82" t="s">
        <v>91</v>
      </c>
      <c r="G48" s="82" t="s">
        <v>92</v>
      </c>
      <c r="H48" s="82" t="s">
        <v>93</v>
      </c>
      <c r="I48" s="83" t="s">
        <v>275</v>
      </c>
      <c r="J48" s="83" t="s">
        <v>216</v>
      </c>
      <c r="K48" s="83" t="s">
        <v>217</v>
      </c>
      <c r="L48" s="83" t="s">
        <v>235</v>
      </c>
      <c r="M48" s="83" t="s">
        <v>252</v>
      </c>
      <c r="N48" s="84">
        <v>912</v>
      </c>
      <c r="O48" s="84" t="s">
        <v>47</v>
      </c>
      <c r="P48" s="85">
        <v>3200</v>
      </c>
      <c r="Q48" s="81">
        <v>12</v>
      </c>
      <c r="R48" s="85">
        <v>1200</v>
      </c>
      <c r="S48" s="86">
        <v>1022.5078302717453</v>
      </c>
      <c r="T48" s="87" t="s">
        <v>287</v>
      </c>
      <c r="U48" s="86">
        <v>1022.5078302717453</v>
      </c>
      <c r="V48" s="87" t="s">
        <v>287</v>
      </c>
      <c r="W48" s="87">
        <v>1107.3099999999997</v>
      </c>
      <c r="X48" s="88">
        <v>12</v>
      </c>
      <c r="Y48" s="87">
        <v>943.10029559118243</v>
      </c>
    </row>
    <row r="49" spans="2:25" ht="15.75" thickBot="1" x14ac:dyDescent="0.3">
      <c r="B49" s="103" t="str">
        <f t="shared" si="2"/>
        <v>Tankless Water Heater_Energy Star_Minimum .87 Energy Factor</v>
      </c>
      <c r="C49" s="103" t="str">
        <f t="shared" si="3"/>
        <v>Water Heater_Existing_TE 80%_TE 96%</v>
      </c>
      <c r="D49" s="89">
        <v>46</v>
      </c>
      <c r="E49" s="90" t="s">
        <v>215</v>
      </c>
      <c r="F49" s="90" t="s">
        <v>105</v>
      </c>
      <c r="G49" s="90" t="s">
        <v>15</v>
      </c>
      <c r="H49" s="90" t="s">
        <v>111</v>
      </c>
      <c r="I49" s="90" t="s">
        <v>276</v>
      </c>
      <c r="J49" s="90" t="s">
        <v>216</v>
      </c>
      <c r="K49" s="90" t="s">
        <v>217</v>
      </c>
      <c r="L49" s="90" t="s">
        <v>277</v>
      </c>
      <c r="M49" s="90" t="s">
        <v>278</v>
      </c>
      <c r="N49" s="92">
        <v>22</v>
      </c>
      <c r="O49" s="92" t="s">
        <v>106</v>
      </c>
      <c r="P49" s="91">
        <v>137.9</v>
      </c>
      <c r="Q49" s="89">
        <v>18</v>
      </c>
      <c r="R49" s="91">
        <v>120</v>
      </c>
      <c r="S49" s="93">
        <v>5.5254422108049157</v>
      </c>
      <c r="T49" s="91" t="s">
        <v>296</v>
      </c>
      <c r="U49" s="93">
        <v>21.642595007568275</v>
      </c>
      <c r="V49" s="91" t="s">
        <v>329</v>
      </c>
      <c r="W49" s="91">
        <v>27.008310440738232</v>
      </c>
      <c r="X49" s="92">
        <v>10</v>
      </c>
      <c r="Y49" s="91">
        <v>24.477313194186394</v>
      </c>
    </row>
    <row r="50" spans="2:25" ht="15.75" thickBot="1" x14ac:dyDescent="0.3">
      <c r="B50" s="103" t="str">
        <f t="shared" si="2"/>
        <v>Tankless Water Heater - Tier 2_Energy Star_Minimum .93 Energy Factor</v>
      </c>
      <c r="C50" s="103" t="str">
        <f t="shared" si="3"/>
        <v>Water Heater_Existing_TE 80%_TE 96%</v>
      </c>
      <c r="D50" s="81">
        <v>47</v>
      </c>
      <c r="E50" s="82" t="s">
        <v>215</v>
      </c>
      <c r="F50" s="82" t="s">
        <v>113</v>
      </c>
      <c r="G50" s="82" t="s">
        <v>15</v>
      </c>
      <c r="H50" s="82" t="s">
        <v>114</v>
      </c>
      <c r="I50" s="83" t="s">
        <v>276</v>
      </c>
      <c r="J50" s="83" t="s">
        <v>216</v>
      </c>
      <c r="K50" s="83" t="s">
        <v>217</v>
      </c>
      <c r="L50" s="83" t="s">
        <v>277</v>
      </c>
      <c r="M50" s="83" t="s">
        <v>278</v>
      </c>
      <c r="N50" s="84">
        <v>38</v>
      </c>
      <c r="O50" s="84" t="s">
        <v>106</v>
      </c>
      <c r="P50" s="85">
        <v>52.8</v>
      </c>
      <c r="Q50" s="81">
        <v>20</v>
      </c>
      <c r="R50" s="85">
        <v>150</v>
      </c>
      <c r="S50" s="86">
        <v>5.5254422108049157</v>
      </c>
      <c r="T50" s="87" t="s">
        <v>296</v>
      </c>
      <c r="U50" s="86">
        <v>37.62785514993638</v>
      </c>
      <c r="V50" s="87" t="s">
        <v>329</v>
      </c>
      <c r="W50" s="87">
        <v>54.368520691779096</v>
      </c>
      <c r="X50" s="88">
        <v>10</v>
      </c>
      <c r="Y50" s="87">
        <v>45.457867360631909</v>
      </c>
    </row>
    <row r="51" spans="2:25" ht="26.25" thickBot="1" x14ac:dyDescent="0.3">
      <c r="B51" s="103" t="str">
        <f t="shared" si="2"/>
        <v>Warm-Air Furnace_High-Efficiency Condensing Furnace_Minimum  91% AFUE</v>
      </c>
      <c r="C51" s="103" t="str">
        <f t="shared" si="3"/>
        <v>Furnace_Existing_AFUE 80% (Standard)_AFUE 96%</v>
      </c>
      <c r="D51" s="89">
        <v>48</v>
      </c>
      <c r="E51" s="90" t="s">
        <v>215</v>
      </c>
      <c r="F51" s="90" t="s">
        <v>107</v>
      </c>
      <c r="G51" s="90" t="s">
        <v>108</v>
      </c>
      <c r="H51" s="90" t="s">
        <v>109</v>
      </c>
      <c r="I51" s="90" t="s">
        <v>279</v>
      </c>
      <c r="J51" s="90" t="s">
        <v>216</v>
      </c>
      <c r="K51" s="90" t="s">
        <v>217</v>
      </c>
      <c r="L51" s="90" t="s">
        <v>218</v>
      </c>
      <c r="M51" s="90" t="s">
        <v>280</v>
      </c>
      <c r="N51" s="92">
        <v>1.1000000000000001</v>
      </c>
      <c r="O51" s="92" t="s">
        <v>102</v>
      </c>
      <c r="P51" s="91">
        <v>6.72</v>
      </c>
      <c r="Q51" s="89">
        <v>18</v>
      </c>
      <c r="R51" s="91">
        <v>5</v>
      </c>
      <c r="S51" s="93">
        <v>341.63301268929075</v>
      </c>
      <c r="T51" s="91" t="s">
        <v>297</v>
      </c>
      <c r="U51" s="93">
        <v>0.58718174055971872</v>
      </c>
      <c r="V51" s="91" t="s">
        <v>301</v>
      </c>
      <c r="W51" s="91">
        <v>3.1362069444444454</v>
      </c>
      <c r="X51" s="92">
        <v>23</v>
      </c>
      <c r="Y51" s="91">
        <v>0.63229916729670732</v>
      </c>
    </row>
    <row r="52" spans="2:25" ht="26.25" thickBot="1" x14ac:dyDescent="0.3">
      <c r="B52" s="103" t="str">
        <f t="shared" si="2"/>
        <v>Windows_Single pane to .3 or less (not LoadMAP's .50 to .22) per sq ft_0.3 or less U</v>
      </c>
      <c r="C52" s="103" t="str">
        <f t="shared" si="3"/>
        <v>Windows - High Efficiency_Existing_U-.5 or worse_U-.22 or better</v>
      </c>
      <c r="D52" s="81">
        <v>49</v>
      </c>
      <c r="E52" s="82" t="s">
        <v>215</v>
      </c>
      <c r="F52" s="82" t="s">
        <v>132</v>
      </c>
      <c r="G52" s="82" t="s">
        <v>444</v>
      </c>
      <c r="H52" s="82" t="s">
        <v>445</v>
      </c>
      <c r="I52" s="83" t="s">
        <v>281</v>
      </c>
      <c r="J52" s="83" t="s">
        <v>216</v>
      </c>
      <c r="K52" s="83" t="s">
        <v>217</v>
      </c>
      <c r="L52" s="83" t="s">
        <v>282</v>
      </c>
      <c r="M52" s="83" t="s">
        <v>283</v>
      </c>
      <c r="N52" s="84">
        <v>1.1000000000000001</v>
      </c>
      <c r="O52" s="84" t="s">
        <v>127</v>
      </c>
      <c r="P52" s="85">
        <v>24.31</v>
      </c>
      <c r="Q52" s="81">
        <v>45</v>
      </c>
      <c r="R52" s="85">
        <v>5</v>
      </c>
      <c r="S52" s="86">
        <v>0.48769414751916607</v>
      </c>
      <c r="T52" s="87" t="s">
        <v>298</v>
      </c>
      <c r="U52" s="86">
        <v>0.48769414751916607</v>
      </c>
      <c r="V52" s="87" t="s">
        <v>298</v>
      </c>
      <c r="W52" s="87">
        <v>24.150000000000002</v>
      </c>
      <c r="X52" s="88">
        <v>45</v>
      </c>
      <c r="Y52" s="87">
        <v>4.9999930262760257</v>
      </c>
    </row>
    <row r="53" spans="2:25" ht="15.75" thickBot="1" x14ac:dyDescent="0.3">
      <c r="B53" s="103" t="str">
        <f t="shared" si="2"/>
        <v>Windows_U-.22 or less_U-.22 or less</v>
      </c>
      <c r="C53" s="103" t="str">
        <f t="shared" si="3"/>
        <v>Windows - High Efficiency_Existing_U-.5 or worse_U-.22 or better</v>
      </c>
      <c r="D53" s="89">
        <v>50</v>
      </c>
      <c r="E53" s="90" t="s">
        <v>215</v>
      </c>
      <c r="F53" s="90" t="s">
        <v>132</v>
      </c>
      <c r="G53" s="90" t="s">
        <v>438</v>
      </c>
      <c r="H53" s="90" t="s">
        <v>438</v>
      </c>
      <c r="I53" s="90" t="s">
        <v>281</v>
      </c>
      <c r="J53" s="90" t="s">
        <v>216</v>
      </c>
      <c r="K53" s="90" t="s">
        <v>217</v>
      </c>
      <c r="L53" s="90" t="s">
        <v>282</v>
      </c>
      <c r="M53" s="90" t="s">
        <v>283</v>
      </c>
      <c r="N53" s="92" t="s">
        <v>250</v>
      </c>
      <c r="O53" s="92" t="s">
        <v>250</v>
      </c>
      <c r="P53" s="91" t="s">
        <v>250</v>
      </c>
      <c r="Q53" s="89" t="s">
        <v>250</v>
      </c>
      <c r="R53" s="91" t="s">
        <v>250</v>
      </c>
      <c r="S53" s="93" t="s">
        <v>250</v>
      </c>
      <c r="T53" s="91" t="s">
        <v>250</v>
      </c>
      <c r="U53" s="93">
        <v>0.54</v>
      </c>
      <c r="V53" s="91" t="s">
        <v>250</v>
      </c>
      <c r="W53" s="91">
        <v>26.23</v>
      </c>
      <c r="X53" s="92">
        <f>X52</f>
        <v>45</v>
      </c>
      <c r="Y53" s="91">
        <f>Y52</f>
        <v>4.9999930262760257</v>
      </c>
    </row>
  </sheetData>
  <autoFilter ref="B3:Z52" xr:uid="{B6AC2ECD-8465-4791-AEE0-7D461000BFC7}"/>
  <mergeCells count="4">
    <mergeCell ref="D2:H2"/>
    <mergeCell ref="I2:M2"/>
    <mergeCell ref="N2:R2"/>
    <mergeCell ref="S2:Y2"/>
  </mergeCells>
  <phoneticPr fontId="38" type="noConversion"/>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2022</vt:lpstr>
      <vt:lpstr>2023</vt:lpstr>
      <vt:lpstr>Updated Tariff</vt:lpstr>
      <vt:lpstr>APP 2885</vt:lpstr>
      <vt:lpstr>Com Measure Mapping</vt:lpstr>
      <vt:lpstr>AC</vt:lpstr>
      <vt:lpstr>'2022'!Print_Area</vt:lpstr>
      <vt:lpstr>'2023'!Print_Area</vt:lpstr>
    </vt:vector>
  </TitlesOfParts>
  <Company>An MDU Resources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Cascade Natural Gas</dc:creator>
  <cp:keywords>Unrestricted</cp:keywords>
  <cp:lastModifiedBy>Storvick, Jon</cp:lastModifiedBy>
  <cp:lastPrinted>2017-01-26T18:03:28Z</cp:lastPrinted>
  <dcterms:created xsi:type="dcterms:W3CDTF">2009-05-07T23:09:45Z</dcterms:created>
  <dcterms:modified xsi:type="dcterms:W3CDTF">2021-10-28T22:40:03Z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ensitivityID">
    <vt:lpwstr>0</vt:lpwstr>
  </property>
  <property fmtid="{D5CDD505-2E9C-101B-9397-08002B2CF9AE}" pid="3" name="checkedProgramsCount">
    <vt:i4>0</vt:i4>
  </property>
  <property fmtid="{D5CDD505-2E9C-101B-9397-08002B2CF9AE}" pid="4" name="LM SIP Document Sensitivity">
    <vt:lpwstr/>
  </property>
  <property fmtid="{D5CDD505-2E9C-101B-9397-08002B2CF9AE}" pid="5" name="Document Author">
    <vt:lpwstr>ACCT04\e320856</vt:lpwstr>
  </property>
  <property fmtid="{D5CDD505-2E9C-101B-9397-08002B2CF9AE}" pid="6" name="Document Sensitivity">
    <vt:lpwstr>1</vt:lpwstr>
  </property>
  <property fmtid="{D5CDD505-2E9C-101B-9397-08002B2CF9AE}" pid="7" name="ThirdParty">
    <vt:lpwstr/>
  </property>
  <property fmtid="{D5CDD505-2E9C-101B-9397-08002B2CF9AE}" pid="8" name="OCI Restriction">
    <vt:bool>false</vt:bool>
  </property>
  <property fmtid="{D5CDD505-2E9C-101B-9397-08002B2CF9AE}" pid="9" name="OCI Additional Info">
    <vt:lpwstr/>
  </property>
  <property fmtid="{D5CDD505-2E9C-101B-9397-08002B2CF9AE}" pid="10" name="Allow Header Overwrite">
    <vt:bool>false</vt:bool>
  </property>
  <property fmtid="{D5CDD505-2E9C-101B-9397-08002B2CF9AE}" pid="11" name="Allow Footer Overwrite">
    <vt:bool>false</vt:bool>
  </property>
  <property fmtid="{D5CDD505-2E9C-101B-9397-08002B2CF9AE}" pid="12" name="Multiple Selected">
    <vt:lpwstr>-1</vt:lpwstr>
  </property>
  <property fmtid="{D5CDD505-2E9C-101B-9397-08002B2CF9AE}" pid="13" name="SIPLongWording">
    <vt:lpwstr>_x000d_
_x000d_
</vt:lpwstr>
  </property>
  <property fmtid="{D5CDD505-2E9C-101B-9397-08002B2CF9AE}" pid="14" name="ExpCountry">
    <vt:lpwstr/>
  </property>
</Properties>
</file>